
<file path=[Content_Types].xml><?xml version="1.0" encoding="utf-8"?>
<Types xmlns="http://schemas.openxmlformats.org/package/2006/content-type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drawings/drawing3.xml" ContentType="application/vnd.openxmlformats-officedocument.drawing+xml"/>
  <Override PartName="/xl/comments2.xml" ContentType="application/vnd.openxmlformats-officedocument.spreadsheetml.comments+xml"/>
  <Override PartName="/xl/comments3.xml" ContentType="application/vnd.openxmlformats-officedocument.spreadsheetml.comments+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bookViews>
    <workbookView xWindow="390" yWindow="870" windowWidth="26295" windowHeight="10650" tabRatio="751" firstSheet="1" activeTab="1"/>
  </bookViews>
  <sheets>
    <sheet name="Инструкция" sheetId="1" r:id="rId1"/>
    <sheet name="Титульный" sheetId="2" r:id="rId2"/>
    <sheet name="Список территорий" sheetId="3" r:id="rId3"/>
    <sheet name="Дифференциация" sheetId="4" r:id="rId4"/>
    <sheet name="Перечень тарифов" sheetId="5" state="hidden" r:id="rId5"/>
    <sheet name="Дифференциация тариф показатель" sheetId="6" state="hidden" r:id="rId6"/>
    <sheet name="Общая информация об организации" sheetId="7" state="hidden" r:id="rId7"/>
    <sheet name="Общая информация по ВД" sheetId="8" state="hidden" r:id="rId8"/>
    <sheet name="Виды объектов" sheetId="9" state="hidden" r:id="rId9"/>
    <sheet name="Сведения по территориям" sheetId="10" state="hidden" r:id="rId10"/>
    <sheet name="et_union_hor" sheetId="11" state="hidden" r:id="rId11"/>
    <sheet name="Договоры" sheetId="12" state="hidden" r:id="rId12"/>
    <sheet name="ТС. Т-ТЭ | &gt;=25МВт" sheetId="13" state="hidden" r:id="rId13"/>
    <sheet name="ТС. Т-ТЭ | ТСО" sheetId="14" state="hidden" r:id="rId14"/>
    <sheet name="ТС. Резерв мощности" sheetId="15" state="hidden" r:id="rId15"/>
    <sheet name="ТС. Т-ТН" sheetId="16" state="hidden" r:id="rId16"/>
    <sheet name="ТС. Т-передача ТЭ" sheetId="17" state="hidden" r:id="rId17"/>
    <sheet name="ТС. Т-передача ТН" sheetId="18" state="hidden" r:id="rId18"/>
    <sheet name="ТС. Т-гор.вода" sheetId="19" state="hidden" r:id="rId19"/>
    <sheet name="ТС. Т-подкл" sheetId="20" state="hidden" r:id="rId20"/>
    <sheet name="TEHSHEET" sheetId="21" state="hidden" r:id="rId21"/>
    <sheet name="DATA_FORMS" sheetId="22" state="hidden" r:id="rId22"/>
    <sheet name="DATA_NPA" sheetId="23" state="hidden" r:id="rId23"/>
    <sheet name="Т-ТЭ | потр" sheetId="24" state="hidden" r:id="rId24"/>
    <sheet name="Т-ТЭ | предел" sheetId="25" state="hidden" r:id="rId25"/>
    <sheet name="Т-ТЭ | индикат" sheetId="26" state="hidden" r:id="rId26"/>
    <sheet name="Т-подкл(инд)" sheetId="27" state="hidden" r:id="rId27"/>
    <sheet name="Порядок ТП" sheetId="28" state="hidden" r:id="rId28"/>
    <sheet name="Сведения о закупках" sheetId="29" state="hidden" r:id="rId29"/>
    <sheet name="modMainProcedures" sheetId="30" state="hidden" r:id="rId30"/>
    <sheet name="Потребительские характеристики" sheetId="31" state="hidden" r:id="rId31"/>
    <sheet name="ТП" sheetId="32" r:id="rId32"/>
    <sheet name="Ограничения" sheetId="33" state="hidden" r:id="rId33"/>
    <sheet name="Предложение" sheetId="34" state="hidden" r:id="rId34"/>
    <sheet name="ХВС. Т-пит" sheetId="35" state="hidden" r:id="rId35"/>
    <sheet name="ХВС. Т-тех" sheetId="36" state="hidden" r:id="rId36"/>
    <sheet name="ХВС. Т-транс" sheetId="37" state="hidden" r:id="rId37"/>
    <sheet name="ХВС. Т-подвоз" sheetId="38" state="hidden" r:id="rId38"/>
    <sheet name="ХВС. Т-подкл" sheetId="39" state="hidden" r:id="rId39"/>
    <sheet name="Показатели ФХД" sheetId="40" state="hidden" r:id="rId40"/>
    <sheet name="Показатели ФХД &gt;20%" sheetId="41" state="hidden" r:id="rId41"/>
    <sheet name="ТКО. Показатели ФХД" sheetId="42" state="hidden" r:id="rId42"/>
    <sheet name="ТКО. Транс. Показатели ФХД" sheetId="43" state="hidden" r:id="rId43"/>
    <sheet name="Показатели КНЭ" sheetId="44" state="hidden" r:id="rId44"/>
    <sheet name="ИП" sheetId="45" state="hidden" r:id="rId45"/>
    <sheet name="ИП. Детализация" sheetId="46" state="hidden" r:id="rId46"/>
    <sheet name="ИП. Финансовый план" sheetId="47" state="hidden" r:id="rId47"/>
    <sheet name="ИП. КНЭ" sheetId="48" state="hidden" r:id="rId48"/>
    <sheet name="ГВС. Т-гор.вода" sheetId="49" state="hidden" r:id="rId49"/>
    <sheet name="ГВС. Т-транс" sheetId="50" state="hidden" r:id="rId50"/>
    <sheet name="ГВС. Т-подкл" sheetId="51" state="hidden" r:id="rId51"/>
    <sheet name="ВО. Т-во" sheetId="52" state="hidden" r:id="rId52"/>
    <sheet name="ВО. Т-транс" sheetId="53" state="hidden" r:id="rId53"/>
    <sheet name="ВО. Т-подкл" sheetId="54" state="hidden" r:id="rId54"/>
    <sheet name="modB_FHD" sheetId="55" state="hidden" r:id="rId55"/>
    <sheet name="modB_FHD20" sheetId="56" state="hidden" r:id="rId56"/>
    <sheet name="modB_KNE" sheetId="57" state="hidden" r:id="rId57"/>
    <sheet name="modIP_MAIN" sheetId="58" state="hidden" r:id="rId58"/>
    <sheet name="modIP_QRE" sheetId="59" state="hidden" r:id="rId59"/>
    <sheet name="modIP_DETAILED" sheetId="60" state="hidden" r:id="rId60"/>
    <sheet name="ЭД" sheetId="61" state="hidden" r:id="rId61"/>
    <sheet name="Сведения об изменении" sheetId="62" state="hidden" r:id="rId62"/>
    <sheet name="Орган регулирования" sheetId="63" state="hidden" r:id="rId63"/>
    <sheet name="Перечень организаций" sheetId="64" state="hidden" r:id="rId64"/>
    <sheet name="Дела об установлении тарифов" sheetId="65" state="hidden" r:id="rId65"/>
    <sheet name="Привлечение к ответственности" sheetId="66" state="hidden" r:id="rId66"/>
    <sheet name="Комментарии" sheetId="67" r:id="rId67"/>
    <sheet name="Проверка" sheetId="68" state="hidden" r:id="rId68"/>
    <sheet name="et_union_vert" sheetId="69" state="hidden" r:id="rId69"/>
    <sheet name="Легенда" sheetId="70" state="hidden" r:id="rId70"/>
    <sheet name="modfrmListIP" sheetId="71" state="hidden" r:id="rId71"/>
    <sheet name="modfrmActivity" sheetId="72" state="hidden" r:id="rId72"/>
    <sheet name="REESTR_ORG" sheetId="73" state="hidden" r:id="rId73"/>
    <sheet name="REESTR_MO" sheetId="74" state="hidden" r:id="rId74"/>
    <sheet name="REESTR_IP" sheetId="75" state="hidden" r:id="rId75"/>
    <sheet name="REESTR_OBJ_INFR" sheetId="76" state="hidden" r:id="rId76"/>
    <sheet name="REESTR_DS" sheetId="77" state="hidden" r:id="rId77"/>
    <sheet name="REESTR_VT" sheetId="78" state="hidden" r:id="rId78"/>
    <sheet name="REESTR_VED" sheetId="79" state="hidden" r:id="rId79"/>
    <sheet name="REESTR_MO_FILTER" sheetId="80" state="hidden" r:id="rId80"/>
    <sheet name="REESTR_LINK" sheetId="81" state="hidden" r:id="rId81"/>
    <sheet name="modSheetMain" sheetId="82" state="hidden" r:id="rId82"/>
    <sheet name="modfrmReportMode" sheetId="83" state="hidden" r:id="rId83"/>
    <sheet name="modfrmReestrObj" sheetId="84" state="hidden" r:id="rId84"/>
    <sheet name="AllSheetsInThisWorkbook" sheetId="85" state="hidden" r:id="rId85"/>
    <sheet name="modInfo" sheetId="86" state="hidden" r:id="rId86"/>
  </sheets>
  <definedNames>
    <definedName name="_xlnm._FilterDatabase" localSheetId="67">Проверка!$B$4:$E$5</definedName>
    <definedName name="anscount">1</definedName>
    <definedName name="B_FHD_CHECK_INDEX_1">'Показатели ФХД'!$M$66</definedName>
    <definedName name="B_FHD_CHECK_INDEX_2">'Показатели ФХД'!$M$68</definedName>
    <definedName name="B_FHD_COSTS_INDEX_1">'Показатели ФХД'!$H$65:$K$65</definedName>
    <definedName name="B_FHD_COSTS_INDEX_2">'Показатели ФХД'!$H$67:$K$67</definedName>
    <definedName name="B_FHD_DATA_TOP80_ACTIVITY">'Показатели ФХД'!$H$81:$K$81</definedName>
    <definedName name="B_FHD_diff_1">'Показатели ФХД'!$I$25:$I$27</definedName>
    <definedName name="B_FHD_diff_66">'Показатели ФХД'!$J$25:$J$27</definedName>
    <definedName name="B_FHD_FLAG_DIFFERENTIATION">'Показатели ФХД'!$H$24:$K$24</definedName>
    <definedName name="B_FHD_FLAG_INDEX_1">'Показатели ФХД'!$H$66:$K$66</definedName>
    <definedName name="B_FHD_FLAG_INDEX_2">'Показатели ФХД'!$H$68:$K$68</definedName>
    <definedName name="B_FHD_TKO_DATA_TOP80_ACTIVITY">'ТКО. Показатели ФХД'!$H$43:$K$43</definedName>
    <definedName name="B_FHD_TKO_diff_1">'ТКО. Показатели ФХД'!$I$10:$I$12</definedName>
    <definedName name="B_FHD_TKO_diff_66">'ТКО. Показатели ФХД'!$J$10:$J$12</definedName>
    <definedName name="B_FHD_TKO_FLAG_DIFFERENTIATION">'ТКО. Показатели ФХД'!$H$9:$K$9</definedName>
    <definedName name="B_FHD_TKO_TRANS_DATA_TOP80_ACTIVITY">'ТКО. Транс. Показатели ФХД'!$H$35:$K$35</definedName>
    <definedName name="B_FHD_TKO_TRANS_diff_1">'ТКО. Транс. Показатели ФХД'!$I$10:$I$12</definedName>
    <definedName name="B_FHD_TKO_TRANS_diff_66">'ТКО. Транс. Показатели ФХД'!$J$10:$J$12</definedName>
    <definedName name="B_FHD_TKO_TRANS_FLAG_DIFFERENTIATION">'ТКО. Транс. Показатели ФХД'!$H$9:$K$9</definedName>
    <definedName name="B_FHD20_ADD_HL_2_COLUMN_MARKER">'Показатели ФХД &gt;20%'!$G$8</definedName>
    <definedName name="B_FHD20_ADD_HL_3_COLUMN_MARKER">'Показатели ФХД &gt;20%'!$J$8</definedName>
    <definedName name="B_FHD20_ADD_HL_4_COLUMN_MARKER">'Показатели ФХД &gt;20%'!$N$8</definedName>
    <definedName name="B_FHD20_ALL_DATA">'Показатели ФХД &gt;20%'!$D$13:$S$32</definedName>
    <definedName name="B_FHD20_COSTS_OPS_diff_1">'Показатели ФХД &gt;20%'!$Q$17</definedName>
    <definedName name="B_FHD20_COSTS_PH_diff_1">'Показатели ФХД &gt;20%'!$Q$20</definedName>
    <definedName name="B_FHD20_DEL_HL_2_COLUMN_MARKER">'Показатели ФХД &gt;20%'!$E$8</definedName>
    <definedName name="B_FHD20_DEL_HL_3_COLUMN_MARKER">'Показатели ФХД &gt;20%'!$H$8</definedName>
    <definedName name="B_FHD20_DEL_HL_4_COLUMN_MARKER">'Показатели ФХД &gt;20%'!$L$8</definedName>
    <definedName name="B_FHD20_diff_1">'Показатели ФХД &gt;20%'!$H$14:$R$16</definedName>
    <definedName name="B_FHD20_diff_66">'Показатели ФХД &gt;20%'!$H$23:$R$25</definedName>
    <definedName name="B_FHD20_FLAG_FHD">'Показатели ФХД &gt;20%'!$V$11:$V$32</definedName>
    <definedName name="B_FHD20_NUMBER_COLUMN_MARKER">'Показатели ФХД &gt;20%'!$D$8</definedName>
    <definedName name="B_FHD20_PART_COLUMN_MARKER">'Показатели ФХД &gt;20%'!$R$8</definedName>
    <definedName name="B_KNE_diff_1">'Показатели КНЭ'!$I$7:$J$9</definedName>
    <definedName name="B_KNE_diff_66">'Показатели КНЭ'!$K$7:$L$9</definedName>
    <definedName name="BLOCK_BALANCE_INDICATORS">Титульный!$50:$60</definedName>
    <definedName name="BLOCK_BALANCE_TKO_FLAG_TRANS">Титульный!$61:$62</definedName>
    <definedName name="BLOCK_CONNECTION_STATE">Титульный!$48:$49</definedName>
    <definedName name="BLOCK_DIFF_CS">Титульный!$40:$41</definedName>
    <definedName name="BLOCK_DIFFERENTIATION_NOT_TKO">Дифференциация!$J:$M</definedName>
    <definedName name="BLOCK_FIRST_TARIFF">Титульный!$20:$24</definedName>
    <definedName name="BLOCK_FIRST_TARIFF_OREG_PUBL">Титульный!$23:$24</definedName>
    <definedName name="BLOCK_MAIN_INFO_HEAT">'Общая информация об организации'!$19:$23</definedName>
    <definedName name="BLOCK_MAIN_INFO_NOT_TKO">'Общая информация об организации'!$45:$48</definedName>
    <definedName name="BLOCK_MAIN_INFO_OBJECT_COLDVSNA">'Общая информация по ВД'!$X:$Z</definedName>
    <definedName name="BLOCK_MAIN_INFO_OBJECT_COMM_COLDVSNA">'Общая информация по ВД'!$AG:$AG</definedName>
    <definedName name="BLOCK_MAIN_INFO_OBJECT_COMM_HEAT">'Общая информация по ВД'!$AE:$AE</definedName>
    <definedName name="BLOCK_MAIN_INFO_OBJECT_COMM_HOTVSNA">'Общая информация по ВД'!$AH:$AH</definedName>
    <definedName name="BLOCK_MAIN_INFO_OBJECT_COMM_VOTV">'Общая информация по ВД'!$AF:$AF</definedName>
    <definedName name="BLOCK_MAIN_INFO_OBJECT_HEAT">'Общая информация по ВД'!$H:$R</definedName>
    <definedName name="BLOCK_MAIN_INFO_OBJECT_HOTVSNA">'Общая информация по ВД'!$AB:$AC</definedName>
    <definedName name="BLOCK_MAIN_INFO_OBJECT_VOTV">'Общая информация по ВД'!$T:$V</definedName>
    <definedName name="BLOCK_NOTE_P_TARIFF_A">'ТС. Т-ТЭ | &gt;=25МВт'!$58:$60</definedName>
    <definedName name="BLOCK_NOTE_P_TARIFF_A_COLDVSNA">'ХВС. Т-пит'!$54:$55</definedName>
    <definedName name="BLOCK_NOTE_P_TARIFF_A_HOTVSNA">'ГВС. Т-гор.вода'!$54:$55</definedName>
    <definedName name="BLOCK_NOTE_P_TARIFF_A_VOTV">'ВО. Т-во'!$54:$55</definedName>
    <definedName name="BLOCK_NOTE_P_TARIFF_B">'ТС. Т-ТЭ | ТСО'!$58:$60</definedName>
    <definedName name="BLOCK_NOTE_P_TARIFF_B_COLDVSNA">'ХВС. Т-тех'!$54:$55</definedName>
    <definedName name="BLOCK_NOTE_P_TARIFF_B_HOTVSNA">'ГВС. Т-транс'!$54:$55</definedName>
    <definedName name="BLOCK_NOTE_P_TARIFF_B_VOTV">'ВО. Т-транс'!$54:$55</definedName>
    <definedName name="BLOCK_NOTE_P_TARIFF_C">'ТС. Т-ТН'!$58:$61</definedName>
    <definedName name="BLOCK_NOTE_P_TARIFF_C_COLDVSNA">'ХВС. Т-транс'!$54:$55</definedName>
    <definedName name="BLOCK_NOTE_P_TARIFF_C_HOTVSNA">'ГВС. Т-подкл'!$64:$65</definedName>
    <definedName name="BLOCK_NOTE_P_TARIFF_C_VOTV">'ВО. Т-подкл'!$64:$65</definedName>
    <definedName name="BLOCK_NOTE_P_TARIFF_D">'ТС. Т-гор.вода'!$66:$68</definedName>
    <definedName name="BLOCK_NOTE_P_TARIFF_D_COLDVSNA">'ХВС. Т-подвоз'!$54:$55</definedName>
    <definedName name="BLOCK_NOTE_P_TARIFF_E_COLDVSNA">'ХВС. Т-подкл'!$64:$65</definedName>
    <definedName name="BLOCK_NOTE_P_TARIFF_E1">'ТС. Т-передача ТЭ'!$58:$61</definedName>
    <definedName name="BLOCK_NOTE_P_TARIFF_E2">'ТС. Т-передача ТН'!$58:$61</definedName>
    <definedName name="BLOCK_NOTE_P_TARIFF_F">'ТС. Резерв мощности'!$58:$60</definedName>
    <definedName name="BLOCK_NOTE_P_TARIFF_G">'ТС. Т-подкл'!$63:$65</definedName>
    <definedName name="BLOCK_NOTE_R_TARIFF_A">'ТС. Т-ТЭ | &gt;=25МВт'!$61:$64</definedName>
    <definedName name="BLOCK_NOTE_R_TARIFF_A_COLDVSNA">'ХВС. Т-пит'!$56:$57</definedName>
    <definedName name="BLOCK_NOTE_R_TARIFF_A_HOTVSNA">'ГВС. Т-гор.вода'!$56:$57</definedName>
    <definedName name="BLOCK_NOTE_R_TARIFF_A_VOTV">'ВО. Т-во'!$56:$57</definedName>
    <definedName name="BLOCK_NOTE_R_TARIFF_B">'ТС. Т-ТЭ | ТСО'!$61:$64</definedName>
    <definedName name="BLOCK_NOTE_R_TARIFF_B_COLDVSNA">'ХВС. Т-тех'!$56:$57</definedName>
    <definedName name="BLOCK_NOTE_R_TARIFF_B_HOTVSNA">'ГВС. Т-транс'!$56:$57</definedName>
    <definedName name="BLOCK_NOTE_R_TARIFF_B_VOTV">'ВО. Т-транс'!$56:$57</definedName>
    <definedName name="BLOCK_NOTE_R_TARIFF_C">'ТС. Т-ТН'!$62:$65</definedName>
    <definedName name="BLOCK_NOTE_R_TARIFF_C_COLDVSNA">'ХВС. Т-транс'!$56:$57</definedName>
    <definedName name="BLOCK_NOTE_R_TARIFF_C_HOTVSNA">'ГВС. Т-подкл'!$66:$67</definedName>
    <definedName name="BLOCK_NOTE_R_TARIFF_C_VOTV">'ВО. Т-подкл'!$66:$67</definedName>
    <definedName name="BLOCK_NOTE_R_TARIFF_D">'ТС. Т-гор.вода'!$69:$71</definedName>
    <definedName name="BLOCK_NOTE_R_TARIFF_D_COLDVSNA">'ХВС. Т-подвоз'!$56:$57</definedName>
    <definedName name="BLOCK_NOTE_R_TARIFF_E_COLDVSNA">'ХВС. Т-подкл'!$66:$67</definedName>
    <definedName name="BLOCK_NOTE_R_TARIFF_E1">'ТС. Т-передача ТЭ'!$62:$65</definedName>
    <definedName name="BLOCK_NOTE_R_TARIFF_E2">'ТС. Т-передача ТН'!$62:$65</definedName>
    <definedName name="BLOCK_NOTE_R_TARIFF_F">'ТС. Резерв мощности'!$61:$64</definedName>
    <definedName name="BLOCK_NOTE_R_TARIFF_G">'ТС. Т-подкл'!$66:$68</definedName>
    <definedName name="BLOCK_PERIOD_DATA">Титульный!$13:$13</definedName>
    <definedName name="BLOCK_PERIOD_QUARTER">Титульный!$15:$15</definedName>
    <definedName name="BLOCK_PERIOD_TWO_DATA">Титульный!$11:$12</definedName>
    <definedName name="BLOCK_PERIOD_YEAR">Титульный!$14:$14</definedName>
    <definedName name="BLOCK_POK_FHD_COLDVSNA_P1">'Показатели ФХД'!$82:$90</definedName>
    <definedName name="BLOCK_POK_FHD_COLDVSNA_P2">'Показатели ФХД'!$115:$119</definedName>
    <definedName name="BLOCK_POK_FHD_HEAT_P1">'Показатели ФХД'!$33:$40</definedName>
    <definedName name="BLOCK_POK_FHD_HEAT_P2">'Показатели ФХД'!$72:$72</definedName>
    <definedName name="BLOCK_POK_FHD_HEAT_P3">'Показатели ФХД'!$99:$111</definedName>
    <definedName name="BLOCK_POK_FHD_HEAT_P4">'Показатели ФХД'!$113:$113</definedName>
    <definedName name="BLOCK_POK_FHD_HEAT_P5">'Показатели ФХД'!$120:$130</definedName>
    <definedName name="BLOCK_POK_FHD_HEAT_P6">'Показатели ФХД'!$47:$47</definedName>
    <definedName name="BLOCK_POK_FHD_HOTVSNA_P1">'Показатели ФХД'!$41:$43</definedName>
    <definedName name="BLOCK_POK_FHD_HOTVSNA_P2">'Показатели ФХД'!$91:$95</definedName>
    <definedName name="BLOCK_POK_FHD_NOT_HEAT_P1">'Показатели ФХД'!$67:$68</definedName>
    <definedName name="BLOCK_POK_FHD_NOT_HEAT_P2">'Показатели ФХД'!$80:$80</definedName>
    <definedName name="BLOCK_POK_FHD_NOT_HOTVSNA">'Показатели ФХД'!$48:$48</definedName>
    <definedName name="BLOCK_POK_FHD_VOTV_P1">'Показатели ФХД'!$96:$98</definedName>
    <definedName name="BLOCK_POK_FHD_VSNA">'Показатели ФХД'!$114:$114</definedName>
    <definedName name="BLOCK_POK_FHD20_NOT_HEAT">'Показатели ФХД &gt;20%'!$20:$22</definedName>
    <definedName name="BLOCK_POK_KNE_COLDVSNA">'Показатели КНЭ'!$37:$63</definedName>
    <definedName name="BLOCK_POK_KNE_HEAT">'Показатели КНЭ'!$13:$35</definedName>
    <definedName name="BLOCK_POK_KNE_HOTVSNA">'Показатели КНЭ'!$65:$75</definedName>
    <definedName name="BLOCK_POK_KNE_VOTV">'Показатели КНЭ'!$77:$100</definedName>
    <definedName name="BLOCK_PRICE_INDICATORS_HEAT">Титульный!$42:$47</definedName>
    <definedName name="BLOCK_PRICE_IST_TE">'Перечень тарифов'!$S:$V</definedName>
    <definedName name="BLOCK_PRICE_REQUEST">Титульный!$20:$24</definedName>
    <definedName name="BLOCK_PT_COLDVSNA">'Перечень тарифов'!$64:$88</definedName>
    <definedName name="BLOCK_PT_HEAT">'Перечень тарифов'!$13:$62</definedName>
    <definedName name="BLOCK_PT_HOTVSNA">'Перечень тарифов'!$90:$104</definedName>
    <definedName name="BLOCK_PT_VOTV">'Перечень тарифов'!$106:$120</definedName>
    <definedName name="BLOCK_TABLE_P_TARIFF_A">'ТС. Т-ТЭ | &gt;=25МВт'!$28:$32</definedName>
    <definedName name="BLOCK_TABLE_P_TARIFF_A_COLDVSNA">'ХВС. Т-пит'!$26:$30</definedName>
    <definedName name="BLOCK_TABLE_P_TARIFF_A_HOTVSNA">'ГВС. Т-гор.вода'!$26:$30</definedName>
    <definedName name="BLOCK_TABLE_P_TARIFF_A_VOTV">'ВО. Т-во'!$26:$30</definedName>
    <definedName name="BLOCK_TABLE_P_TARIFF_B">'ТС. Т-ТЭ | ТСО'!$28:$32</definedName>
    <definedName name="BLOCK_TABLE_P_TARIFF_B_COLDVSNA">'ХВС. Т-тех'!$26:$30</definedName>
    <definedName name="BLOCK_TABLE_P_TARIFF_B_HOTVSNA">'ГВС. Т-транс'!$26:$30</definedName>
    <definedName name="BLOCK_TABLE_P_TARIFF_B_VOTV">'ВО. Т-транс'!$26:$30</definedName>
    <definedName name="BLOCK_TABLE_P_TARIFF_C">'ТС. Т-ТН'!$28:$32</definedName>
    <definedName name="BLOCK_TABLE_P_TARIFF_C_COLDVSNA">'ХВС. Т-транс'!$26:$30</definedName>
    <definedName name="BLOCK_TABLE_P_TARIFF_C_HOTVSNA">'ГВС. Т-подкл'!$30:$34</definedName>
    <definedName name="BLOCK_TABLE_P_TARIFF_C_VOTV">'ВО. Т-подкл'!$30:$34</definedName>
    <definedName name="BLOCK_TABLE_P_TARIFF_D">'ТС. Т-гор.вода'!$32:$36</definedName>
    <definedName name="BLOCK_TABLE_P_TARIFF_D_COLDVSNA">'ХВС. Т-подвоз'!$26:$30</definedName>
    <definedName name="BLOCK_TABLE_P_TARIFF_E_COLDVSNA">'ХВС. Т-подкл'!$30:$34</definedName>
    <definedName name="BLOCK_TABLE_P_TARIFF_E1">'ТС. Т-передача ТЭ'!$28:$32</definedName>
    <definedName name="BLOCK_TABLE_P_TARIFF_E2">'ТС. Т-передача ТН'!$28:$32</definedName>
    <definedName name="BLOCK_TABLE_P_TARIFF_F">'ТС. Резерв мощности'!$28:$32</definedName>
    <definedName name="BLOCK_TABLE_P_TARIFF_G">'ТС. Т-подкл'!$29:$33</definedName>
    <definedName name="BLOCK_TABLE_R_TARIFF_A">'ТС. Т-ТЭ | &gt;=25МВт'!$33:$35</definedName>
    <definedName name="BLOCK_TABLE_R_TARIFF_A_COLDVSNA">'ХВС. Т-пит'!$31:$33</definedName>
    <definedName name="BLOCK_TABLE_R_TARIFF_A_HOTVSNA">'ГВС. Т-гор.вода'!$31:$33</definedName>
    <definedName name="BLOCK_TABLE_R_TARIFF_A_VOTV">'ВО. Т-во'!$31:$33</definedName>
    <definedName name="BLOCK_TABLE_R_TARIFF_B">'ТС. Т-ТЭ | ТСО'!$33:$35</definedName>
    <definedName name="BLOCK_TABLE_R_TARIFF_B_COLDVSNA">'ХВС. Т-тех'!$31:$33</definedName>
    <definedName name="BLOCK_TABLE_R_TARIFF_B_HOTVSNA">'ГВС. Т-транс'!$31:$33</definedName>
    <definedName name="BLOCK_TABLE_R_TARIFF_B_VOTV">'ВО. Т-транс'!$31:$33</definedName>
    <definedName name="BLOCK_TABLE_R_TARIFF_C">'ТС. Т-ТН'!$33:$35</definedName>
    <definedName name="BLOCK_TABLE_R_TARIFF_C_COLDVSNA">'ХВС. Т-транс'!$31:$33</definedName>
    <definedName name="BLOCK_TABLE_R_TARIFF_C_HOTVSNA">'ГВС. Т-подкл'!$35:$37</definedName>
    <definedName name="BLOCK_TABLE_R_TARIFF_C_VOTV">'ВО. Т-подкл'!$35:$37</definedName>
    <definedName name="BLOCK_TABLE_R_TARIFF_D">'ТС. Т-гор.вода'!$37:$39</definedName>
    <definedName name="BLOCK_TABLE_R_TARIFF_D_COLDVSNA">'ХВС. Т-подвоз'!$31:$33</definedName>
    <definedName name="BLOCK_TABLE_R_TARIFF_E_COLDVSNA">'ХВС. Т-подкл'!$35:$37</definedName>
    <definedName name="BLOCK_TABLE_R_TARIFF_E1">'ТС. Т-передача ТЭ'!$33:$35</definedName>
    <definedName name="BLOCK_TABLE_R_TARIFF_E2">'ТС. Т-передача ТН'!$33:$35</definedName>
    <definedName name="BLOCK_TABLE_R_TARIFF_F">'ТС. Резерв мощности'!$33:$35</definedName>
    <definedName name="BLOCK_TABLE_R_TARIFF_G">'ТС. Т-подкл'!$34:$36</definedName>
    <definedName name="BLOCK_TEMPLATES_INVEST_TIT">Титульный!$59:$60</definedName>
    <definedName name="BLOCK_TERMS_HEAT_P1">Договоры!$19:$19</definedName>
    <definedName name="BLOCK_TERMS_NOT_TKO_P1">Договоры!$16:$18</definedName>
    <definedName name="BLOCK_TERMS_NOT_TKO_P2">Договоры!$20:$22</definedName>
    <definedName name="BLOCK_TERMS_TKO_TRANS">Договоры!$23:$26</definedName>
    <definedName name="BLOCK_TERRITORY_INFO">'Список территорий'!$7:$7</definedName>
    <definedName name="BLOCK_TITLE_ROIV_INFO">Титульный!$9:$9</definedName>
    <definedName name="BLOCK_WARM_ORG_TYPE">Титульный!$36:$36</definedName>
    <definedName name="checkCell_List01">'Список территорий'!$E$15:$I$15</definedName>
    <definedName name="checkCell_List07">'Сведения об изменении'!$D$11:$E$13</definedName>
    <definedName name="CLASS_TKO_LIST">TEHSHEET!$AZ$90:$AZ$94</definedName>
    <definedName name="code">Инструкция!$B$2</definedName>
    <definedName name="CodeTemplateList">TEHSHEET!$F$46:$F$53</definedName>
    <definedName name="COLDVSNA_FIN_SRC_LIST">TEHSHEET!$BJ$4:$BJ$34</definedName>
    <definedName name="COLDVSNA_FIN_SRC_VLD_LIST">TEHSHEET!$BJ$39:$BJ$60</definedName>
    <definedName name="COLDVSNA_IP_EVENT_CI_STAGE_LIST">TEHSHEET!$BJ$97:$BJ$100</definedName>
    <definedName name="COLDVSNA_IP_EVENT_GROUP_LIST">TEHSHEET!$BJ$69:$BJ$76</definedName>
    <definedName name="COLDVSNA_IP_EVENT_SUBGROUP_1_LIST">TEHSHEET!$BJ$80:$BJ$83</definedName>
    <definedName name="COLDVSNA_IP_EVENT_SUBGROUP_3_LIST">TEHSHEET!$BJ$87:$BJ$88</definedName>
    <definedName name="COLDVSNA_IP_EVENT_SUBGROUP_5_LIST">TEHSHEET!$BJ$92:$BJ$93</definedName>
    <definedName name="COLDVSNA_IP_EVENT_TYPE_LIST">TEHSHEET!$BJ$108</definedName>
    <definedName name="COLDVSNA_PT_VED_ID">TEHSHEET!$BT$19:$BT$25</definedName>
    <definedName name="COLDVSNA_PT_VED_NAME">TEHSHEET!$BU$19:$BU$25</definedName>
    <definedName name="COLDVSNA_PT_VED_NAME_LIST">TEHSHEET!$BT$19:$BU$25</definedName>
    <definedName name="COLDVSNA_TARIFF_A_COLDVSNA_ADD_HL_COLUMN_MARKER">'ХВС. Т-пит'!$T$34</definedName>
    <definedName name="COLDVSNA_TARIFF_A_COLDVSNA_DEL_HL_DATA_DIFF_COLUMN_MARKER">'ХВС. Т-пит'!$R$34</definedName>
    <definedName name="COLDVSNA_TARIFF_A_COLDVSNA_DEL_HL_FLAG_DIFF_COLUMN_MARKER">'ХВС. Т-пит'!$P$34</definedName>
    <definedName name="COLDVSNA_TARIFF_A_COLDVSNA_DEL_HL_GC_COLUMN_MARKER">'ХВС. Т-пит'!$Q$34</definedName>
    <definedName name="COLDVSNA_TARIFF_A_COLDVSNA_DELETE_PERIOD_ROW_MARKER">'ХВС. Т-пит'!$O$35</definedName>
    <definedName name="COLDVSNA_TARIFF_A_COLDVSNA_FLAG_BLOCK_COLUMN_MARKER">'ХВС. Т-пит'!$L$36</definedName>
    <definedName name="COLDVSNA_TARIFF_A_COLDVSNA_FLAG_BLOCK_ROW_MARKER">'ХВС. Т-пит'!$O$20</definedName>
    <definedName name="COLDVSNA_TARIFF_A_COLDVSNA_NUM_CS_COLUMN_MARKER">'ХВС. Т-пит'!$G$36</definedName>
    <definedName name="COLDVSNA_TARIFF_A_COLDVSNA_NUM_DATA_DIFF_COLUMN_MARKER">'ХВС. Т-пит'!$K$36</definedName>
    <definedName name="COLDVSNA_TARIFF_A_COLDVSNA_NUM_FLAG_DIFF_COLUMN_MARKER">'ХВС. Т-пит'!$I$36</definedName>
    <definedName name="COLDVSNA_TARIFF_A_COLDVSNA_NUM_GC_COLUMN_MARKER">'ХВС. Т-пит'!$J$36</definedName>
    <definedName name="COLDVSNA_TARIFF_A_COLDVSNA_NUM_NTAR_COLUMN_MARKER">'ХВС. Т-пит'!$E$36</definedName>
    <definedName name="COLDVSNA_TARIFF_A_COLDVSNA_NUM_TER_COLUMN_MARKER">'ХВС. Т-пит'!$F$36</definedName>
    <definedName name="COLDVSNA_TARIFF_B_COLDVSNA_ADD_HL_COLUMN_MARKER">'ХВС. Т-тех'!$T$34</definedName>
    <definedName name="COLDVSNA_TARIFF_B_COLDVSNA_DEL_HL_DATA_DIFF_COLUMN_MARKER">'ХВС. Т-тех'!$R$34</definedName>
    <definedName name="COLDVSNA_TARIFF_B_COLDVSNA_DEL_HL_FLAG_DIFF_COLUMN_MARKER">'ХВС. Т-тех'!$P$34</definedName>
    <definedName name="COLDVSNA_TARIFF_B_COLDVSNA_DEL_HL_GC_COLUMN_MARKER">'ХВС. Т-тех'!$Q$34</definedName>
    <definedName name="COLDVSNA_TARIFF_B_COLDVSNA_DELETE_PERIOD_ROW_MARKER">'ХВС. Т-тех'!$O$35</definedName>
    <definedName name="COLDVSNA_TARIFF_B_COLDVSNA_FLAG_BLOCK_COLUMN_MARKER">'ХВС. Т-тех'!$L$36</definedName>
    <definedName name="COLDVSNA_TARIFF_B_COLDVSNA_FLAG_BLOCK_ROW_MARKER">'ХВС. Т-тех'!$O$20</definedName>
    <definedName name="COLDVSNA_TARIFF_B_COLDVSNA_NUM_CS_COLUMN_MARKER">'ХВС. Т-тех'!$G$36</definedName>
    <definedName name="COLDVSNA_TARIFF_B_COLDVSNA_NUM_DATA_DIFF_COLUMN_MARKER">'ХВС. Т-тех'!$K$36</definedName>
    <definedName name="COLDVSNA_TARIFF_B_COLDVSNA_NUM_FLAG_DIFF_COLUMN_MARKER">'ХВС. Т-тех'!$I$36</definedName>
    <definedName name="COLDVSNA_TARIFF_B_COLDVSNA_NUM_GC_COLUMN_MARKER">'ХВС. Т-тех'!$J$36</definedName>
    <definedName name="COLDVSNA_TARIFF_B_COLDVSNA_NUM_NTAR_COLUMN_MARKER">'ХВС. Т-тех'!$E$36</definedName>
    <definedName name="COLDVSNA_TARIFF_B_COLDVSNA_NUM_TER_COLUMN_MARKER">'ХВС. Т-тех'!$F$36</definedName>
    <definedName name="COLDVSNA_TARIFF_C_COLDVSNA_ADD_HL_COLUMN_MARKER">'ХВС. Т-транс'!$T$34</definedName>
    <definedName name="COLDVSNA_TARIFF_C_COLDVSNA_DEL_HL_DATA_DIFF_COLUMN_MARKER">'ХВС. Т-транс'!$R$34</definedName>
    <definedName name="COLDVSNA_TARIFF_C_COLDVSNA_DEL_HL_FLAG_DIFF_COLUMN_MARKER">'ХВС. Т-транс'!$P$34</definedName>
    <definedName name="COLDVSNA_TARIFF_C_COLDVSNA_DEL_HL_GC_COLUMN_MARKER">'ХВС. Т-транс'!$Q$34</definedName>
    <definedName name="COLDVSNA_TARIFF_C_COLDVSNA_DELETE_PERIOD_ROW_MARKER">'ХВС. Т-транс'!$O$35</definedName>
    <definedName name="COLDVSNA_TARIFF_C_COLDVSNA_FLAG_BLOCK_COLUMN_MARKER">'ХВС. Т-транс'!$L$36</definedName>
    <definedName name="COLDVSNA_TARIFF_C_COLDVSNA_FLAG_BLOCK_ROW_MARKER">'ХВС. Т-транс'!$O$20</definedName>
    <definedName name="COLDVSNA_TARIFF_C_COLDVSNA_NUM_CS_COLUMN_MARKER">'ХВС. Т-транс'!$G$36</definedName>
    <definedName name="COLDVSNA_TARIFF_C_COLDVSNA_NUM_DATA_DIFF_COLUMN_MARKER">'ХВС. Т-транс'!$K$36</definedName>
    <definedName name="COLDVSNA_TARIFF_C_COLDVSNA_NUM_FLAG_DIFF_COLUMN_MARKER">'ХВС. Т-транс'!$I$36</definedName>
    <definedName name="COLDVSNA_TARIFF_C_COLDVSNA_NUM_GC_COLUMN_MARKER">'ХВС. Т-транс'!$J$36</definedName>
    <definedName name="COLDVSNA_TARIFF_C_COLDVSNA_NUM_NTAR_COLUMN_MARKER">'ХВС. Т-транс'!$E$36</definedName>
    <definedName name="COLDVSNA_TARIFF_C_COLDVSNA_NUM_TER_COLUMN_MARKER">'ХВС. Т-транс'!$F$36</definedName>
    <definedName name="COLDVSNA_TARIFF_D_COLDVSNA_ADD_HL_COLUMN_MARKER">'ХВС. Т-подвоз'!$T$34</definedName>
    <definedName name="COLDVSNA_TARIFF_D_COLDVSNA_DEL_HL_DATA_DIFF_COLUMN_MARKER">'ХВС. Т-подвоз'!$R$34</definedName>
    <definedName name="COLDVSNA_TARIFF_D_COLDVSNA_DEL_HL_FLAG_DIFF_COLUMN_MARKER">'ХВС. Т-подвоз'!$P$34</definedName>
    <definedName name="COLDVSNA_TARIFF_D_COLDVSNA_DEL_HL_GC_COLUMN_MARKER">'ХВС. Т-подвоз'!$Q$34</definedName>
    <definedName name="COLDVSNA_TARIFF_D_COLDVSNA_DELETE_PERIOD_ROW_MARKER">'ХВС. Т-подвоз'!$O$35</definedName>
    <definedName name="COLDVSNA_TARIFF_D_COLDVSNA_FLAG_BLOCK_COLUMN_MARKER">'ХВС. Т-подвоз'!$L$36</definedName>
    <definedName name="COLDVSNA_TARIFF_D_COLDVSNA_FLAG_BLOCK_ROW_MARKER">'ХВС. Т-подвоз'!$O$20</definedName>
    <definedName name="COLDVSNA_TARIFF_D_COLDVSNA_NUM_CS_COLUMN_MARKER">'ХВС. Т-подвоз'!$G$36</definedName>
    <definedName name="COLDVSNA_TARIFF_D_COLDVSNA_NUM_DATA_DIFF_COLUMN_MARKER">'ХВС. Т-подвоз'!$K$36</definedName>
    <definedName name="COLDVSNA_TARIFF_D_COLDVSNA_NUM_FLAG_DIFF_COLUMN_MARKER">'ХВС. Т-подвоз'!$I$36</definedName>
    <definedName name="COLDVSNA_TARIFF_D_COLDVSNA_NUM_GC_COLUMN_MARKER">'ХВС. Т-подвоз'!$J$36</definedName>
    <definedName name="COLDVSNA_TARIFF_D_COLDVSNA_NUM_NTAR_COLUMN_MARKER">'ХВС. Т-подвоз'!$E$36</definedName>
    <definedName name="COLDVSNA_TARIFF_D_COLDVSNA_NUM_TER_COLUMN_MARKER">'ХВС. Т-подвоз'!$F$36</definedName>
    <definedName name="COLDVSNA_TARIFF_E_COLDVSNA_ADD_HL_COLUMN_MARKER">'ХВС. Т-подкл'!$T$38</definedName>
    <definedName name="COLDVSNA_TARIFF_E_COLDVSNA_ADD_HL_DIAMETERS_COLUMN_MARKER">'ХВС. Т-подкл'!$AK$38</definedName>
    <definedName name="COLDVSNA_TARIFF_E_COLDVSNA_ADD_HL_LEN_COLUMN_MARKER">'ХВС. Т-подкл'!$AO$38</definedName>
    <definedName name="COLDVSNA_TARIFF_E_COLDVSNA_ADD_HL_LOAD_COLUMN_MARKER">'ХВС. Т-подкл'!$AG$38</definedName>
    <definedName name="COLDVSNA_TARIFF_E_COLDVSNA_ADD_HL_NETS_COLUMN_MARKER">'ХВС. Т-подкл'!$AS$38</definedName>
    <definedName name="COLDVSNA_TARIFF_E_COLDVSNA_DEL_HL_DATA_DIFF_COLUMN_MARKER">'ХВС. Т-подкл'!$R$38</definedName>
    <definedName name="COLDVSNA_TARIFF_E_COLDVSNA_DEL_HL_DIAMETERS_COLUMN_MARKER">'ХВС. Т-подкл'!$AI$38</definedName>
    <definedName name="COLDVSNA_TARIFF_E_COLDVSNA_DEL_HL_FLAG_DIFF_COLUMN_MARKER">'ХВС. Т-подкл'!$P$38</definedName>
    <definedName name="COLDVSNA_TARIFF_E_COLDVSNA_DEL_HL_GC_COLUMN_MARKER">'ХВС. Т-подкл'!$Q$38</definedName>
    <definedName name="COLDVSNA_TARIFF_E_COLDVSNA_DEL_HL_LEN_COLUMN_MARKER">'ХВС. Т-подкл'!$AM$38</definedName>
    <definedName name="COLDVSNA_TARIFF_E_COLDVSNA_DEL_HL_LOAD_COLUMN_MARKER">'ХВС. Т-подкл'!$AE$38</definedName>
    <definedName name="COLDVSNA_TARIFF_E_COLDVSNA_DEL_HL_NETS_COLUMN_MARKER">'ХВС. Т-подкл'!$AQ$38</definedName>
    <definedName name="COLDVSNA_TARIFF_E_COLDVSNA_DELETE_PERIOD_ROW_MARKER">'ХВС. Т-подкл'!$O$39</definedName>
    <definedName name="COLDVSNA_TARIFF_E_COLDVSNA_FLAG_BLOCK_COLUMN_MARKER">'ХВС. Т-подкл'!$L$44</definedName>
    <definedName name="COLDVSNA_TARIFF_E_COLDVSNA_FLAG_BLOCK_ROW_MARKER">'ХВС. Т-подкл'!$O$24</definedName>
    <definedName name="COLDVSNA_TARIFF_E_COLDVSNA_NUM_CS_COLUMN_MARKER">'ХВС. Т-подкл'!$G$44</definedName>
    <definedName name="COLDVSNA_TARIFF_E_COLDVSNA_NUM_DATA_DIFF_COLUMN_MARKER">'ХВС. Т-подкл'!$K$44</definedName>
    <definedName name="COLDVSNA_TARIFF_E_COLDVSNA_NUM_DIAMETERS_COLUMN_MARKER">'ХВС. Т-подкл'!$AJ$38</definedName>
    <definedName name="COLDVSNA_TARIFF_E_COLDVSNA_NUM_FLAG_DIFF_COLUMN_MARKER">'ХВС. Т-подкл'!$I$44</definedName>
    <definedName name="COLDVSNA_TARIFF_E_COLDVSNA_NUM_GC_COLUMN_MARKER">'ХВС. Т-подкл'!$J$44</definedName>
    <definedName name="COLDVSNA_TARIFF_E_COLDVSNA_NUM_LEN_COLUMN_MARKER">'ХВС. Т-подкл'!$AN$38</definedName>
    <definedName name="COLDVSNA_TARIFF_E_COLDVSNA_NUM_LOAD_COLUMN_MARKER">'ХВС. Т-подкл'!$AF$38</definedName>
    <definedName name="COLDVSNA_TARIFF_E_COLDVSNA_NUM_NETS_COLUMN_MARKER">'ХВС. Т-подкл'!$AR$38</definedName>
    <definedName name="COLDVSNA_TARIFF_E_COLDVSNA_NUM_NTAR_COLUMN_MARKER">'ХВС. Т-подкл'!$E$44</definedName>
    <definedName name="COLDVSNA_TARIFF_E_COLDVSNA_NUM_TER_COLUMN_MARKER">'ХВС. Т-подкл'!$F$44</definedName>
    <definedName name="cross_without_borders">TEHSHEET!$J$27</definedName>
    <definedName name="CS_ID">TEHSHEET!$E$63</definedName>
    <definedName name="CURRENT_DATE">TEHSHEET!$H$29</definedName>
    <definedName name="DATA_URL">TEHSHEET!$H$32</definedName>
    <definedName name="DESCRIPTION_TERRITORY">REESTR_DS!$B$2</definedName>
    <definedName name="DIFFERENTIATION_AREA">Дифференциация!$I$12:$I$17</definedName>
    <definedName name="DIFFERENTIATION_AREA_ID">Дифференциация!$U$11:$U$18</definedName>
    <definedName name="DIFFERENTIATION_CheckC">Дифференциация!$D$12:$M$17</definedName>
    <definedName name="DIFFERENTIATION_fieldMarker">Дифференциация!$W$12:$W$17</definedName>
    <definedName name="DIFFERENTIATION_ID">TEHSHEET!$E$57</definedName>
    <definedName name="DIFFERENTIATION_ID_DIFF">Дифференциация!$O$12:$O$17</definedName>
    <definedName name="DIFFERENTIATION_SYSTEM">Дифференциация!$M$12:$M$17</definedName>
    <definedName name="DIFFERENTIATION_TARIFF_AREA_ID">'Перечень тарифов'!$Z$12:$Z$122</definedName>
    <definedName name="DIFFERENTIATION_TARIFF_VD_ID">'Перечень тарифов'!$AB$12:$AB$122</definedName>
    <definedName name="DIFFERENTIATION_TARIFF_VTAR_ID">'Перечень тарифов'!$AA$12:$AA$122</definedName>
    <definedName name="DIFFERENTIATION_TKO_ADD_HL_CLASS_TKO_COLUMN_MARKER">'Дифференциация тариф показатель'!$AH$7</definedName>
    <definedName name="DIFFERENTIATION_TKO_ADD_HL_NTAR_COLUMN_MARKER">'Дифференциация тариф показатель'!$J$7</definedName>
    <definedName name="DIFFERENTIATION_TKO_ADD_HL_TER_COLUMN_MARKER">'Дифференциация тариф показатель'!$V$7</definedName>
    <definedName name="DIFFERENTIATION_TKO_ADD_HL_TO_COLUMN_MARKER">'Дифференциация тариф показатель'!$P$7</definedName>
    <definedName name="DIFFERENTIATION_TKO_ADD_HL_TYPE_TKO_COLUMN_MARKER">'Дифференциация тариф показатель'!$AB$7</definedName>
    <definedName name="DIFFERENTIATION_TKO_ADD_HL_VTAR_COLUMN_MARKER">'Дифференциация тариф показатель'!$F$7</definedName>
    <definedName name="DIFFERENTIATION_TKO_AREA_ID">'Дифференциация тариф показатель'!$AK$11:$AK$41</definedName>
    <definedName name="DIFFERENTIATION_TKO_DEL_HL_CLASS_TKO_COLUMN_MARKER">'Дифференциация тариф показатель'!$AF$7</definedName>
    <definedName name="DIFFERENTIATION_TKO_DEL_HL_NTAR_COLUMN_MARKER">'Дифференциация тариф показатель'!$H$7</definedName>
    <definedName name="DIFFERENTIATION_TKO_DEL_HL_TER_COLUMN_MARKER">'Дифференциация тариф показатель'!$T$7</definedName>
    <definedName name="DIFFERENTIATION_TKO_DEL_HL_TO_COLUMN_MARKER">'Дифференциация тариф показатель'!$N$7</definedName>
    <definedName name="DIFFERENTIATION_TKO_DEL_HL_TYPE_TKO_COLUMN_MARKER">'Дифференциация тариф показатель'!$Z$7</definedName>
    <definedName name="DIFFERENTIATION_TKO_FLAG_DIFF_CLASS_TKO_ETC_COLUMN_MARKER">'Дифференциация тариф показатель'!$AE$7</definedName>
    <definedName name="DIFFERENTIATION_TKO_FLAG_DIFF_CLASS_TKO_TARIFF_COLUMN_MARKER">'Дифференциация тариф показатель'!$AD$7</definedName>
    <definedName name="DIFFERENTIATION_TKO_FLAG_DIFF_TER_ETC_COLUMN_MARKER">'Дифференциация тариф показатель'!$S$7</definedName>
    <definedName name="DIFFERENTIATION_TKO_FLAG_DIFF_TER_TARIFF_COLUMN_MARKER">'Дифференциация тариф показатель'!$R$7</definedName>
    <definedName name="DIFFERENTIATION_TKO_FLAG_DIFF_TO_ETC_COLUMN_MARKER">'Дифференциация тариф показатель'!$M$7</definedName>
    <definedName name="DIFFERENTIATION_TKO_FLAG_DIFF_TO_TARIFF_COLUMN_MARKER">'Дифференциация тариф показатель'!$L$7</definedName>
    <definedName name="DIFFERENTIATION_TKO_FLAG_DIFF_TYPE_TKO_ETC_COLUMN_MARKER">'Дифференциация тариф показатель'!$Y$7</definedName>
    <definedName name="DIFFERENTIATION_TKO_FLAG_DIFF_TYPE_TKO_TARIFF_COLUMN_MARKER">'Дифференциация тариф показатель'!$X$7</definedName>
    <definedName name="DIFFERENTIATION_TKO_FLAG_VTAR_COLUMN_MARKER">'Дифференциация тариф показатель'!$G$7</definedName>
    <definedName name="DIFFERENTIATION_TKO_TER_ID">'Дифференциация тариф показатель'!$AL$11:$AL$41</definedName>
    <definedName name="DIFFERENTIATION_UNMERGE_AREA">Дифференциация!$Q$12:$Q$17</definedName>
    <definedName name="DIFFERENTIATION_UNMERGE_SYSTEM">Дифференциация!$R$12:$R$17</definedName>
    <definedName name="DIFFERENTIATION_UNMERGE_VD">Дифференциация!$P$12:$P$17</definedName>
    <definedName name="DIFFERENTIATION_VD">Дифференциация!$E$12:$E$17</definedName>
    <definedName name="DIFFERENTIATION_VD_ID">Дифференциация!$V$11:$V$18</definedName>
    <definedName name="ED_DATE">ЭД!$G$12:$G$13</definedName>
    <definedName name="ED_DATE_PARKING">ЭД!$I$5</definedName>
    <definedName name="ED_LINK">ЭД!$H$12:$H$13</definedName>
    <definedName name="EndDateList">TEHSHEET!$H$46:$H$53</definedName>
    <definedName name="et_B_FHD20_1">et_union_hor!$103:$111</definedName>
    <definedName name="et_B_FHD20_1_HEAT">et_union_hor!$115:$123</definedName>
    <definedName name="et_B_FHD20_1_NOT_HEAT">et_union_hor!$103:$111</definedName>
    <definedName name="et_B_FHD20_2">et_union_hor!$127:$130</definedName>
    <definedName name="et_B_FHD20_3">et_union_hor!$135:$136</definedName>
    <definedName name="et_B_FHD20_4">et_union_hor!$138:$138</definedName>
    <definedName name="et_CHANGE_INFO">et_union_hor!$4:$4</definedName>
    <definedName name="et_COLDVSNA_TARIFF_A_COLDVSNA_CS">'ХВС. Т-пит'!$4:$11</definedName>
    <definedName name="et_COLDVSNA_TARIFF_A_COLDVSNA_DATA_DIFF">'ХВС. Т-пит'!$7:$8</definedName>
    <definedName name="et_COLDVSNA_TARIFF_A_COLDVSNA_FLAG_DIFF">'ХВС. Т-пит'!$5:$10</definedName>
    <definedName name="et_COLDVSNA_TARIFF_A_COLDVSNA_GC">'ХВС. Т-пит'!$6:$9</definedName>
    <definedName name="et_COLDVSNA_TARIFF_A_COLDVSNA_NTAR">'ХВС. Т-пит'!$2:$13</definedName>
    <definedName name="et_COLDVSNA_TARIFF_A_COLDVSNA_PERIOD_COLOR">'ХВС. Т-пит'!$AC$7:$AI$8</definedName>
    <definedName name="et_COLDVSNA_TARIFF_A_COLDVSNA_PERIOD_NOT_COLOR">'ХВС. Т-пит'!$AC$15:$AI$16</definedName>
    <definedName name="et_COLDVSNA_TARIFF_A_COLDVSNA_TER">'ХВС. Т-пит'!$3:$12</definedName>
    <definedName name="et_COLDVSNA_TARIFF_A_COLDVSNA_TN">'ХВС. Т-пит'!$7:$8</definedName>
    <definedName name="et_COLDVSNA_TARIFF_B_COLDVSNA_CS">'ХВС. Т-тех'!$4:$11</definedName>
    <definedName name="et_COLDVSNA_TARIFF_B_COLDVSNA_DATA_DIFF">'ХВС. Т-тех'!$7:$8</definedName>
    <definedName name="et_COLDVSNA_TARIFF_B_COLDVSNA_FLAG_DIFF">'ХВС. Т-тех'!$5:$10</definedName>
    <definedName name="et_COLDVSNA_TARIFF_B_COLDVSNA_GC">'ХВС. Т-тех'!$6:$9</definedName>
    <definedName name="et_COLDVSNA_TARIFF_B_COLDVSNA_NTAR">'ХВС. Т-тех'!$2:$13</definedName>
    <definedName name="et_COLDVSNA_TARIFF_B_COLDVSNA_PERIOD_COLOR">'ХВС. Т-тех'!$AC$7:$AI$8</definedName>
    <definedName name="et_COLDVSNA_TARIFF_B_COLDVSNA_PERIOD_NOT_COLOR">'ХВС. Т-тех'!$AC$15:$AI$16</definedName>
    <definedName name="et_COLDVSNA_TARIFF_B_COLDVSNA_TER">'ХВС. Т-тех'!$3:$12</definedName>
    <definedName name="et_COLDVSNA_TARIFF_C_COLDVSNA_CS">'ХВС. Т-транс'!$4:$11</definedName>
    <definedName name="et_COLDVSNA_TARIFF_C_COLDVSNA_DATA_DIFF">'ХВС. Т-транс'!$7:$8</definedName>
    <definedName name="et_COLDVSNA_TARIFF_C_COLDVSNA_FLAG_DIFF">'ХВС. Т-транс'!$5:$10</definedName>
    <definedName name="et_COLDVSNA_TARIFF_C_COLDVSNA_GC">'ХВС. Т-транс'!$6:$9</definedName>
    <definedName name="et_COLDVSNA_TARIFF_C_COLDVSNA_NTAR">'ХВС. Т-транс'!$2:$13</definedName>
    <definedName name="et_COLDVSNA_TARIFF_C_COLDVSNA_PERIOD_COLOR">'ХВС. Т-транс'!$AC$7:$AI$8</definedName>
    <definedName name="et_COLDVSNA_TARIFF_C_COLDVSNA_PERIOD_NOT_COLOR">'ХВС. Т-транс'!$AC$15:$AI$16</definedName>
    <definedName name="et_COLDVSNA_TARIFF_C_COLDVSNA_TER">'ХВС. Т-транс'!$3:$12</definedName>
    <definedName name="et_COLDVSNA_TARIFF_D_COLDVSNA_CS">'ХВС. Т-подвоз'!$4:$11</definedName>
    <definedName name="et_COLDVSNA_TARIFF_D_COLDVSNA_DATA_DIFF">'ХВС. Т-подвоз'!$7:$8</definedName>
    <definedName name="et_COLDVSNA_TARIFF_D_COLDVSNA_FLAG_DIFF">'ХВС. Т-подвоз'!$5:$10</definedName>
    <definedName name="et_COLDVSNA_TARIFF_D_COLDVSNA_GC">'ХВС. Т-подвоз'!$6:$9</definedName>
    <definedName name="et_COLDVSNA_TARIFF_D_COLDVSNA_NTAR">'ХВС. Т-подвоз'!$2:$13</definedName>
    <definedName name="et_COLDVSNA_TARIFF_D_COLDVSNA_PERIOD_COLOR">'ХВС. Т-подвоз'!$AC$7:$AI$8</definedName>
    <definedName name="et_COLDVSNA_TARIFF_D_COLDVSNA_PERIOD_NOT_COLOR">'ХВС. Т-подвоз'!$AC$15:$AI$16</definedName>
    <definedName name="et_COLDVSNA_TARIFF_D_COLDVSNA_TER">'ХВС. Т-подвоз'!$3:$12</definedName>
    <definedName name="et_COLDVSNA_TARIFF_E_COLDVSNA_CS">'ХВС. Т-подкл'!$4:$16</definedName>
    <definedName name="et_COLDVSNA_TARIFF_E_COLDVSNA_DATA_DIFF">'ХВС. Т-подкл'!$8:$12</definedName>
    <definedName name="et_COLDVSNA_TARIFF_E_COLDVSNA_DIAMETERS">'ХВС. Т-подкл'!$8:$10</definedName>
    <definedName name="et_COLDVSNA_TARIFF_E_COLDVSNA_FLAG_DIFF">'ХВС. Т-подкл'!$6:$14</definedName>
    <definedName name="et_COLDVSNA_TARIFF_E_COLDVSNA_GC">'ХВС. Т-подкл'!$7:$13</definedName>
    <definedName name="et_COLDVSNA_TARIFF_E_COLDVSNA_LEN">'ХВС. Т-подкл'!$8:$9</definedName>
    <definedName name="et_COLDVSNA_TARIFF_E_COLDVSNA_LOAD">'ХВС. Т-подкл'!$8:$11</definedName>
    <definedName name="et_COLDVSNA_TARIFF_E_COLDVSNA_NETS">'ХВС. Т-подкл'!$8:$8</definedName>
    <definedName name="et_COLDVSNA_TARIFF_E_COLDVSNA_NTAR">'ХВС. Т-подкл'!$2:$18</definedName>
    <definedName name="et_COLDVSNA_TARIFF_E_COLDVSNA_PERIOD_COLOR">'ХВС. Т-подкл'!$AT$8:$BA$8</definedName>
    <definedName name="et_COLDVSNA_TARIFF_E_COLDVSNA_PERIOD_NOT_COLOR">'ХВС. Т-подкл'!$AT$20:$BA$20</definedName>
    <definedName name="et_COLDVSNA_TARIFF_E_COLDVSNA_TER">'ХВС. Т-подкл'!$3:$17</definedName>
    <definedName name="et_Comm">et_union_hor!$8:$8</definedName>
    <definedName name="et_DIFFERENTIATION_AREA">et_union_hor!$25:$26</definedName>
    <definedName name="et_DIFFERENTIATION_SYSTEM">et_union_hor!$30:$30</definedName>
    <definedName name="et_DIFFERENTIATION_TARIFF_COLOR">et_union_hor!$H$142:$W$146</definedName>
    <definedName name="et_DIFFERENTIATION_TARIFF_CS">et_union_hor!$157:$158</definedName>
    <definedName name="et_DIFFERENTIATION_TARIFF_IST_TE">et_union_hor!$160:$160</definedName>
    <definedName name="et_DIFFERENTIATION_TARIFF_NOT_COLOR">et_union_hor!$H$182:$W$186</definedName>
    <definedName name="et_DIFFERENTIATION_TARIFF_NOT_HEAT_COLOR">et_union_hor!$H$164:$W$168</definedName>
    <definedName name="et_DIFFERENTIATION_TARIFF_NOT_HEAT_CS">et_union_hor!$179:$180</definedName>
    <definedName name="et_DIFFERENTIATION_TARIFF_NOT_HEAT_NTAR">et_union_hor!$170:$173</definedName>
    <definedName name="et_DIFFERENTIATION_TARIFF_NOT_HEAT_TER">et_union_hor!$175:$177</definedName>
    <definedName name="et_DIFFERENTIATION_TARIFF_NOT_HEAT_VTAR">et_union_hor!$164:$168</definedName>
    <definedName name="et_DIFFERENTIATION_TARIFF_NTAR">et_union_hor!$148:$151</definedName>
    <definedName name="et_DIFFERENTIATION_TARIFF_TER">et_union_hor!$153:$155</definedName>
    <definedName name="et_DIFFERENTIATION_TARIFF_VTAR">et_union_hor!$142:$146</definedName>
    <definedName name="et_DIFFERENTIATION_TKO_CLASS_TKO">et_union_hor!$190:$190</definedName>
    <definedName name="et_DIFFERENTIATION_TKO_COLOR">et_union_hor!$H$190:$AI$195</definedName>
    <definedName name="et_DIFFERENTIATION_TKO_NOT_COLOR">et_union_hor!$H$197:$AI$202</definedName>
    <definedName name="et_DIFFERENTIATION_TKO_NTAR">et_union_hor!$190:$194</definedName>
    <definedName name="et_DIFFERENTIATION_TKO_TER">et_union_hor!$190:$192</definedName>
    <definedName name="et_DIFFERENTIATION_TKO_TO">et_union_hor!$190:$193</definedName>
    <definedName name="et_DIFFERENTIATION_TKO_TYPE_TKO">et_union_hor!$190:$191</definedName>
    <definedName name="et_DIFFERENTIATION_TKO_VTAR">et_union_hor!$190:$195</definedName>
    <definedName name="et_DIFFERENTIATION_VD">et_union_hor!$19:$21</definedName>
    <definedName name="et_ED">et_union_hor!$52:$52</definedName>
    <definedName name="et_HEAT_TARIFF_A_CS">'ТС. Т-ТЭ | &gt;=25МВт'!$4:$13</definedName>
    <definedName name="et_HEAT_TARIFF_A_GC">'ТС. Т-ТЭ | &gt;=25МВт'!$7:$10</definedName>
    <definedName name="et_HEAT_TARIFF_A_IST_TE">'ТС. Т-ТЭ | &gt;=25МВт'!$5:$12</definedName>
    <definedName name="et_HEAT_TARIFF_A_NTAR">'ТС. Т-ТЭ | &gt;=25МВт'!$2:$15</definedName>
    <definedName name="et_HEAT_TARIFF_A_PERIOD_COLOR">'ТС. Т-ТЭ | &gt;=25МВт'!$AD$8:$AK$9</definedName>
    <definedName name="et_HEAT_TARIFF_A_PERIOD_NOT_COLOR">'ТС. Т-ТЭ | &gt;=25МВт'!$AD$17:$AK$18</definedName>
    <definedName name="et_HEAT_TARIFF_A_SCHEME">'ТС. Т-ТЭ | &gt;=25МВт'!$6:$11</definedName>
    <definedName name="et_HEAT_TARIFF_A_TER">'ТС. Т-ТЭ | &gt;=25МВт'!$3:$14</definedName>
    <definedName name="et_HEAT_TARIFF_A_TN">'ТС. Т-ТЭ | &gt;=25МВт'!$8:$9</definedName>
    <definedName name="et_HEAT_TARIFF_B_CS">'ТС. Т-ТЭ | ТСО'!$4:$13</definedName>
    <definedName name="et_HEAT_TARIFF_B_GC">'ТС. Т-ТЭ | ТСО'!$7:$10</definedName>
    <definedName name="et_HEAT_TARIFF_B_IST_TE">'ТС. Т-ТЭ | ТСО'!$5:$12</definedName>
    <definedName name="et_HEAT_TARIFF_B_NTAR">'ТС. Т-ТЭ | ТСО'!$2:$15</definedName>
    <definedName name="et_HEAT_TARIFF_B_PERIOD_COLOR">'ТС. Т-ТЭ | ТСО'!$AD$8:$AK$9</definedName>
    <definedName name="et_HEAT_TARIFF_B_PERIOD_NOT_COLOR">'ТС. Т-ТЭ | ТСО'!$AD$17:$AK$18</definedName>
    <definedName name="et_HEAT_TARIFF_B_SCHEME">'ТС. Т-ТЭ | ТСО'!$6:$11</definedName>
    <definedName name="et_HEAT_TARIFF_B_TER">'ТС. Т-ТЭ | ТСО'!$3:$14</definedName>
    <definedName name="et_HEAT_TARIFF_B_TN">'ТС. Т-ТЭ | ТСО'!$8:$9</definedName>
    <definedName name="et_HEAT_TARIFF_C_CS">'ТС. Т-ТН'!$4:$13</definedName>
    <definedName name="et_HEAT_TARIFF_C_GC">'ТС. Т-ТН'!$7:$10</definedName>
    <definedName name="et_HEAT_TARIFF_C_IST_TE">'ТС. Т-ТН'!$5:$12</definedName>
    <definedName name="et_HEAT_TARIFF_C_NTAR">'ТС. Т-ТН'!$2:$15</definedName>
    <definedName name="et_HEAT_TARIFF_C_PERIOD_COLOR">'ТС. Т-ТН'!$AD$8:$AK$9</definedName>
    <definedName name="et_HEAT_TARIFF_C_PERIOD_NOT_COLOR">'ТС. Т-ТН'!$AD$17:$AK$18</definedName>
    <definedName name="et_HEAT_TARIFF_C_SCHEME">'ТС. Т-ТН'!$6:$11</definedName>
    <definedName name="et_HEAT_TARIFF_C_TER">'ТС. Т-ТН'!$3:$14</definedName>
    <definedName name="et_HEAT_TARIFF_C_TN">'ТС. Т-ТН'!$8:$9</definedName>
    <definedName name="et_HEAT_TARIFF_D_CONS">'ТС. Т-гор.вода'!$9:$10</definedName>
    <definedName name="et_HEAT_TARIFF_D_CS">'ТС. Т-гор.вода'!$4:$15</definedName>
    <definedName name="et_HEAT_TARIFF_D_GC">'ТС. Т-гор.вода'!$7:$12</definedName>
    <definedName name="et_HEAT_TARIFF_D_IST_TE">'ТС. Т-гор.вода'!$5:$14</definedName>
    <definedName name="et_HEAT_TARIFF_D_NTAR">'ТС. Т-гор.вода'!$2:$17</definedName>
    <definedName name="et_HEAT_TARIFF_D_PERIOD_COLOR">'ТС. Т-гор.вода'!$AG$8:$AO$10</definedName>
    <definedName name="et_HEAT_TARIFF_D_PERIOD_NOT_COLOR">'ТС. Т-гор.вода'!$AG$19:$AO$22</definedName>
    <definedName name="et_HEAT_TARIFF_D_SCHEME">'ТС. Т-гор.вода'!$6:$13</definedName>
    <definedName name="et_HEAT_TARIFF_D_TER">'ТС. Т-гор.вода'!$3:$16</definedName>
    <definedName name="et_HEAT_TARIFF_D_TN">'ТС. Т-гор.вода'!$8:$11</definedName>
    <definedName name="et_HEAT_TARIFF_E1_CS">'ТС. Т-передача ТЭ'!$4:$13</definedName>
    <definedName name="et_HEAT_TARIFF_E1_GC">'ТС. Т-передача ТЭ'!$7:$10</definedName>
    <definedName name="et_HEAT_TARIFF_E1_IST_TE">'ТС. Т-передача ТЭ'!$5:$12</definedName>
    <definedName name="et_HEAT_TARIFF_E1_NTAR">'ТС. Т-передача ТЭ'!$2:$15</definedName>
    <definedName name="et_HEAT_TARIFF_E1_PERIOD_COLOR">'ТС. Т-передача ТЭ'!$AD$8:$AK$9</definedName>
    <definedName name="et_HEAT_TARIFF_E1_PERIOD_NOT_COLOR">'ТС. Т-передача ТЭ'!$AD$17:$AK$18</definedName>
    <definedName name="et_HEAT_TARIFF_E1_SCHEME">'ТС. Т-передача ТЭ'!$6:$11</definedName>
    <definedName name="et_HEAT_TARIFF_E1_TER">'ТС. Т-передача ТЭ'!$3:$14</definedName>
    <definedName name="et_HEAT_TARIFF_E1_TN">'ТС. Т-передача ТЭ'!$8:$9</definedName>
    <definedName name="et_HEAT_TARIFF_E2_CS">'ТС. Т-передача ТН'!$4:$13</definedName>
    <definedName name="et_HEAT_TARIFF_E2_GC">'ТС. Т-передача ТН'!$7:$10</definedName>
    <definedName name="et_HEAT_TARIFF_E2_IST_TE">'ТС. Т-передача ТН'!$5:$12</definedName>
    <definedName name="et_HEAT_TARIFF_E2_NTAR">'ТС. Т-передача ТН'!$2:$15</definedName>
    <definedName name="et_HEAT_TARIFF_E2_PERIOD_COLOR">'ТС. Т-передача ТН'!$AD$8:$AK$9</definedName>
    <definedName name="et_HEAT_TARIFF_E2_PERIOD_NOT_COLOR">'ТС. Т-передача ТН'!$AD$17:$AK$18</definedName>
    <definedName name="et_HEAT_TARIFF_E2_SCHEME">'ТС. Т-передача ТН'!$6:$11</definedName>
    <definedName name="et_HEAT_TARIFF_E2_TER">'ТС. Т-передача ТН'!$3:$14</definedName>
    <definedName name="et_HEAT_TARIFF_E2_TN">'ТС. Т-передача ТН'!$8:$9</definedName>
    <definedName name="et_HEAT_TARIFF_F_CS">'ТС. Резерв мощности'!$4:$13</definedName>
    <definedName name="et_HEAT_TARIFF_F_GC">'ТС. Резерв мощности'!$7:$10</definedName>
    <definedName name="et_HEAT_TARIFF_F_IST_TE">'ТС. Резерв мощности'!$5:$12</definedName>
    <definedName name="et_HEAT_TARIFF_F_NTAR">'ТС. Резерв мощности'!$2:$15</definedName>
    <definedName name="et_HEAT_TARIFF_F_PERIOD_COLOR">'ТС. Резерв мощности'!$AD$8:$AK$9</definedName>
    <definedName name="et_HEAT_TARIFF_F_PERIOD_NOT_COLOR">'ТС. Резерв мощности'!$AD$17:$AK$18</definedName>
    <definedName name="et_HEAT_TARIFF_F_SCHEME">'ТС. Резерв мощности'!$6:$11</definedName>
    <definedName name="et_HEAT_TARIFF_F_TER">'ТС. Резерв мощности'!$3:$14</definedName>
    <definedName name="et_HEAT_TARIFF_F_TN">'ТС. Резерв мощности'!$8:$9</definedName>
    <definedName name="et_HEAT_TARIFF_G_CS">'ТС. Т-подкл'!$4:$15</definedName>
    <definedName name="et_HEAT_TARIFF_G_DIAMETERS">'ТС. Т-подкл'!$8:$8</definedName>
    <definedName name="et_HEAT_TARIFF_G_GC">'ТС. Т-подкл'!$7:$12</definedName>
    <definedName name="et_HEAT_TARIFF_G_IST_TE">'ТС. Т-подкл'!$5:$14</definedName>
    <definedName name="et_HEAT_TARIFF_G_LOAD">'ТС. Т-подкл'!$8:$10</definedName>
    <definedName name="et_HEAT_TARIFF_G_NETS">'ТС. Т-подкл'!$8:$9</definedName>
    <definedName name="et_HEAT_TARIFF_G_NTAR">'ТС. Т-подкл'!$2:$17</definedName>
    <definedName name="et_HEAT_TARIFF_G_PERIOD_COLOR">'ТС. Т-подкл'!$AN$8:$AS$8</definedName>
    <definedName name="et_HEAT_TARIFF_G_PERIOD_NOT_COLOR">'ТС. Т-подкл'!$AN$19:$AS$19</definedName>
    <definedName name="et_HEAT_TARIFF_G_SCHEME">'ТС. Т-подкл'!$6:$13</definedName>
    <definedName name="et_HEAT_TARIFF_G_TER">'ТС. Т-подкл'!$3:$16</definedName>
    <definedName name="et_HEAT_TARIFF_G_TN">'ТС. Т-подкл'!$8:$11</definedName>
    <definedName name="et_hor_B_FHD_1">'Показатели ФХД'!$2:$7</definedName>
    <definedName name="et_hor_B_FHD_2">'Показатели ФХД'!$9:$9</definedName>
    <definedName name="et_hor_B_FHD_3">'Показатели ФХД'!$11:$11</definedName>
    <definedName name="et_hor_B_FHD_4">'Показатели ФХД'!$13:$13</definedName>
    <definedName name="et_hor_B_FHD_5">'Показатели ФХД'!$15:$15</definedName>
    <definedName name="et_hor_B_FHD_6">'Показатели ФХД'!$17:$17</definedName>
    <definedName name="et_hor_B_FHD_TKO_2">'ТКО. Показатели ФХД'!$2:$2</definedName>
    <definedName name="et_hor_B_FHD_TKO_TRANS_2">'ТКО. Транс. Показатели ФХД'!$2:$2</definedName>
    <definedName name="et_hor_Q_LIMIT_1">Ограничения!$3:$4</definedName>
    <definedName name="et_hor_Q_LIMIT_2">Ограничения!$6:$7</definedName>
    <definedName name="et_hor_Q_LIMIT_3">Ограничения!$9:$11</definedName>
    <definedName name="et_hor_Q_LIMIT_4">Ограничения!$13:$14</definedName>
    <definedName name="et_hor_Q_TP_1">ТП!$2:$2</definedName>
    <definedName name="et_HOTVSNA_TARIFF_A_HOTVSNA_CS">'ГВС. Т-гор.вода'!$4:$11</definedName>
    <definedName name="et_HOTVSNA_TARIFF_A_HOTVSNA_DATA_DIFF">'ГВС. Т-гор.вода'!$7:$8</definedName>
    <definedName name="et_HOTVSNA_TARIFF_A_HOTVSNA_FLAG_DIFF">'ГВС. Т-гор.вода'!$5:$10</definedName>
    <definedName name="et_HOTVSNA_TARIFF_A_HOTVSNA_GC">'ГВС. Т-гор.вода'!$6:$9</definedName>
    <definedName name="et_HOTVSNA_TARIFF_A_HOTVSNA_NTAR">'ГВС. Т-гор.вода'!$2:$13</definedName>
    <definedName name="et_HOTVSNA_TARIFF_A_HOTVSNA_PERIOD_COLOR">'ГВС. Т-гор.вода'!$AC$7:$AI$8</definedName>
    <definedName name="et_HOTVSNA_TARIFF_A_HOTVSNA_PERIOD_NOT_COLOR">'ГВС. Т-гор.вода'!$AC$15:$AI$16</definedName>
    <definedName name="et_HOTVSNA_TARIFF_A_HOTVSNA_TER">'ГВС. Т-гор.вода'!$3:$12</definedName>
    <definedName name="et_HOTVSNA_TARIFF_A_HOTVSNA_TN">'ГВС. Т-гор.вода'!$7:$8</definedName>
    <definedName name="et_HOTVSNA_TARIFF_B_HOTVSNA_CS">'ГВС. Т-транс'!$4:$11</definedName>
    <definedName name="et_HOTVSNA_TARIFF_B_HOTVSNA_DATA_DIFF">'ГВС. Т-транс'!$7:$8</definedName>
    <definedName name="et_HOTVSNA_TARIFF_B_HOTVSNA_FLAG_DIFF">'ГВС. Т-транс'!$5:$10</definedName>
    <definedName name="et_HOTVSNA_TARIFF_B_HOTVSNA_GC">'ГВС. Т-транс'!$6:$9</definedName>
    <definedName name="et_HOTVSNA_TARIFF_B_HOTVSNA_NTAR">'ГВС. Т-транс'!$2:$13</definedName>
    <definedName name="et_HOTVSNA_TARIFF_B_HOTVSNA_PERIOD_COLOR">'ГВС. Т-транс'!$AC$7:$AI$8</definedName>
    <definedName name="et_HOTVSNA_TARIFF_B_HOTVSNA_PERIOD_NOT_COLOR">'ГВС. Т-транс'!$AC$15:$AI$16</definedName>
    <definedName name="et_HOTVSNA_TARIFF_B_HOTVSNA_TER">'ГВС. Т-транс'!$3:$12</definedName>
    <definedName name="et_HOTVSNA_TARIFF_B_HOTVSNA_TN">'ГВС. Т-транс'!$7:$8</definedName>
    <definedName name="et_HOTVSNA_TARIFF_C_HOTVSNA_CS">'ГВС. Т-подкл'!$4:$16</definedName>
    <definedName name="et_HOTVSNA_TARIFF_C_HOTVSNA_DATA_DIFF">'ГВС. Т-подкл'!$8:$12</definedName>
    <definedName name="et_HOTVSNA_TARIFF_C_HOTVSNA_DIAMETERS">'ГВС. Т-подкл'!$8:$10</definedName>
    <definedName name="et_HOTVSNA_TARIFF_C_HOTVSNA_FLAG_DIFF">'ГВС. Т-подкл'!$6:$14</definedName>
    <definedName name="et_HOTVSNA_TARIFF_C_HOTVSNA_GC">'ГВС. Т-подкл'!$7:$13</definedName>
    <definedName name="et_HOTVSNA_TARIFF_C_HOTVSNA_LEN">'ГВС. Т-подкл'!$8:$9</definedName>
    <definedName name="et_HOTVSNA_TARIFF_C_HOTVSNA_LOAD">'ГВС. Т-подкл'!$8:$11</definedName>
    <definedName name="et_HOTVSNA_TARIFF_C_HOTVSNA_NETS">'ГВС. Т-подкл'!$8:$8</definedName>
    <definedName name="et_HOTVSNA_TARIFF_C_HOTVSNA_NTAR">'ГВС. Т-подкл'!$2:$18</definedName>
    <definedName name="et_HOTVSNA_TARIFF_C_HOTVSNA_PERIOD_COLOR">'ГВС. Т-подкл'!$AT$8:$BA$8</definedName>
    <definedName name="et_HOTVSNA_TARIFF_C_HOTVSNA_PERIOD_NOT_COLOR">'ГВС. Т-подкл'!$AT$20:$BA$20</definedName>
    <definedName name="et_HOTVSNA_TARIFF_C_HOTVSNA_TER">'ГВС. Т-подкл'!$3:$17</definedName>
    <definedName name="et_IP_DETAILED">et_union_hor!$69:$75</definedName>
    <definedName name="et_IP_DETAILED_EVENT">et_union_hor!$89:$93</definedName>
    <definedName name="et_IP_DETAILED_IST_FIN">et_union_hor!$85:$85</definedName>
    <definedName name="et_IP_DETAILED_OBJECT">et_union_hor!$79:$81</definedName>
    <definedName name="et_IP_DETAILED_YEAR">et_union_hor!$70:$75</definedName>
    <definedName name="et_IP_MAIN">et_union_hor!$60:$61</definedName>
    <definedName name="et_IP_MAIN_PROPERTY">et_union_hor!$65:$65</definedName>
    <definedName name="et_IP_QRE">et_union_hor!$97:$99</definedName>
    <definedName name="et_IP_QRE_CLAIM">et_union_hor!$98:$98</definedName>
    <definedName name="et_List02">et_union_hor!$142:$146</definedName>
    <definedName name="et_List02_1_wd">et_union_hor!$182:$185</definedName>
    <definedName name="et_List02_2_wd">et_union_hor!$182:$184</definedName>
    <definedName name="et_List02_3_wd">et_union_hor!$182:$183</definedName>
    <definedName name="et_List02_4_wd">et_union_hor!$182:$182</definedName>
    <definedName name="et_List02_changeColor_1">et_union_hor!$J$142:$J$145</definedName>
    <definedName name="et_List02_changeColor_1_wd">et_union_hor!$J$182:$J$185</definedName>
    <definedName name="et_List02_changeColor_2">et_union_hor!$N$142:$N$144</definedName>
    <definedName name="et_List02_changeColor_2_wd">et_union_hor!$N$182:$N$184</definedName>
    <definedName name="et_List02_changeColor_3">et_union_hor!$R$142:$R$143</definedName>
    <definedName name="et_List02_changeColor_3_wd">et_union_hor!$R$182:$R$183</definedName>
    <definedName name="et_List02_changeColor_4">et_union_hor!$V$142</definedName>
    <definedName name="et_List02_changeColor_4_wd">et_union_hor!$V$182</definedName>
    <definedName name="et_List02_wd">et_union_hor!$182:$186</definedName>
    <definedName name="et_OFFER_p1">Предложение!$2:$2</definedName>
    <definedName name="et_OFFER_p2">Предложение!$4:$4</definedName>
    <definedName name="et_ORG_INFO_1">et_union_hor!$35:$35</definedName>
    <definedName name="et_ORG_INFO_2">et_union_hor!$39:$39</definedName>
    <definedName name="et_ORG_TERRITORY_MO">et_union_hor!$44:$44</definedName>
    <definedName name="et_ORG_TERRITORY_MO_FLAG_INTERNET">et_union_hor!$J$44</definedName>
    <definedName name="et_ORG_TERRITORY_MO_LINK">et_union_hor!$K$44</definedName>
    <definedName name="et_ORG_VD">et_union_hor!$48:$48</definedName>
    <definedName name="et_ORG_VD_COLDVSNA">et_union_hor!$X$48:$Z$48</definedName>
    <definedName name="et_ORG_VD_FIRST_SYSTEM">et_union_hor!$E$48</definedName>
    <definedName name="et_ORG_VD_HEAT">et_union_hor!$H$48:$R$48</definedName>
    <definedName name="et_ORG_VD_HOTVSNA">et_union_hor!$AB$48:$AC$48</definedName>
    <definedName name="et_ORG_VD_TKO_ACTIVITY">'Виды объектов'!$2:$3</definedName>
    <definedName name="et_ORG_VD_TKO_TYPE_OBJECT">'Виды объектов'!$2:$2</definedName>
    <definedName name="et_ORG_VD_VOTV">et_union_hor!$T$48:$V$48</definedName>
    <definedName name="et_P_PROCEDURE_TC_1">'Порядок ТП'!$2:$2</definedName>
    <definedName name="et_P_PROCEDURE_TC_2">'Порядок ТП'!$4:$4</definedName>
    <definedName name="et_P_PROCEDURE_TC_3">'Порядок ТП'!$6:$6</definedName>
    <definedName name="et_P_PROCEDURE_TC_4">'Порядок ТП'!$8:$8</definedName>
    <definedName name="et_P_PROCEDURE_TC_5">'Порядок ТП'!$10:$10</definedName>
    <definedName name="et_P_T_TERMS">et_union_hor!$56:$56</definedName>
    <definedName name="et_Q_TP_DIFFERENTIATION">ТП!$G:$G</definedName>
    <definedName name="et_QRE">et_union_hor!$97:$99</definedName>
    <definedName name="et_QRE_CLAIM">et_union_hor!$98:$98</definedName>
    <definedName name="et_R_B_Purch">'Сведения о закупках'!$2:$2</definedName>
    <definedName name="et_ROIV_CASE_case">'Дела об установлении тарифов'!$2:$2</definedName>
    <definedName name="et_ROIV_INFO_phone">'Орган регулирования'!$2:$2</definedName>
    <definedName name="et_ROIV_ORG_org">'Перечень организаций'!$2:$2</definedName>
    <definedName name="et_ROIV_OTV_DL">'Привлечение к ответственности'!$2:$2</definedName>
    <definedName name="et_ROIV_OTV_org">'Привлечение к ответственности'!$2:$3</definedName>
    <definedName name="et_TERMS">et_union_hor!$56:$56</definedName>
    <definedName name="et_TERRITORY_AREA">et_union_hor!$13:$15</definedName>
    <definedName name="et_TERRITORY_MO">et_union_hor!$14:$14</definedName>
    <definedName name="et_ver_B_FHD_DIFFERENTIATION">'Показатели ФХД'!$H:$H</definedName>
    <definedName name="et_ver_B_FHD_TKO_DIFFERENTIATION">'ТКО. Показатели ФХД'!$H:$H</definedName>
    <definedName name="et_ver_B_FHD_TKO_TRANS_DIFFERENTIATION">'ТКО. Транс. Показатели ФХД'!$H:$H</definedName>
    <definedName name="et_ver_B_KNE_DIFFERENTIATION">'Показатели КНЭ'!$G:$H</definedName>
    <definedName name="et_ver_COLDVSNA_TARIFF_A_COLDVSNA">'ХВС. Т-пит'!$V:$AB</definedName>
    <definedName name="et_ver_COLDVSNA_TARIFF_B_COLDVSNA">'ХВС. Т-тех'!$V:$AB</definedName>
    <definedName name="et_ver_COLDVSNA_TARIFF_C_COLDVSNA">'ХВС. Т-транс'!$V:$AB</definedName>
    <definedName name="et_ver_COLDVSNA_TARIFF_D_COLDVSNA">'ХВС. Т-подвоз'!$V:$AB</definedName>
    <definedName name="et_ver_COLDVSNA_TARIFF_E_COLDVSNA">'ХВС. Т-подкл'!$V:$AC</definedName>
    <definedName name="et_ver_HEAT_TARIFF_A">'ТС. Т-ТЭ | &gt;=25МВт'!$V:$AC</definedName>
    <definedName name="et_ver_HEAT_TARIFF_B">'ТС. Т-ТЭ | ТСО'!$V:$AC</definedName>
    <definedName name="et_ver_HEAT_TARIFF_C">'ТС. Т-ТН'!$V:$AC</definedName>
    <definedName name="et_ver_HEAT_TARIFF_D">'ТС. Т-гор.вода'!$X:$AF</definedName>
    <definedName name="et_ver_HEAT_TARIFF_E1">'ТС. Т-передача ТЭ'!$V:$AC</definedName>
    <definedName name="et_ver_HEAT_TARIFF_E2">'ТС. Т-передача ТН'!$V:$AC</definedName>
    <definedName name="et_ver_HEAT_TARIFF_F">'ТС. Резерв мощности'!$V:$AC</definedName>
    <definedName name="et_ver_HEAT_TARIFF_G">'ТС. Т-подкл'!$V:$AA</definedName>
    <definedName name="et_ver_HOTVSNA_TARIFF_A_HOTVSNA">'ГВС. Т-гор.вода'!$V:$AB</definedName>
    <definedName name="et_ver_HOTVSNA_TARIFF_B_HOTVSNA">'ГВС. Т-транс'!$V:$AB</definedName>
    <definedName name="et_ver_HOTVSNA_TARIFF_C_HOTVSNA">'ГВС. Т-подкл'!$V:$AC</definedName>
    <definedName name="et_ver_IP_FIN_PLAN">'ИП. Финансовый план'!$H:$J</definedName>
    <definedName name="et_ver_IP_FIN_PLAN_YEAR">'ИП. Финансовый план'!$I:$I</definedName>
    <definedName name="et_ver_Q_LIMIT_DIFFERENTIATION">Ограничения!$G:$H</definedName>
    <definedName name="et_ver_Q_PH_DIFFERENTIATION">'Потребительские характеристики'!$G:$H</definedName>
    <definedName name="et_ver_Q_TP_DIFFERENTIATION">ТП!$G:$G</definedName>
    <definedName name="et_ver_VOTV_TARIFF_A_VOTV">'ВО. Т-во'!$V:$AB</definedName>
    <definedName name="et_ver_VOTV_TARIFF_B_VOTV">'ВО. Т-транс'!$V:$AB</definedName>
    <definedName name="et_ver_VOTV_TARIFF_C_VOTV">'ВО. Т-подкл'!$V:$AC</definedName>
    <definedName name="et_VOTV_TARIFF_A_VOTV_CS">'ВО. Т-во'!$4:$11</definedName>
    <definedName name="et_VOTV_TARIFF_A_VOTV_DATA_DIFF">'ВО. Т-во'!$7:$8</definedName>
    <definedName name="et_VOTV_TARIFF_A_VOTV_FLAG_DIFF">'ВО. Т-во'!$5:$10</definedName>
    <definedName name="et_VOTV_TARIFF_A_VOTV_GC">'ВО. Т-во'!$6:$9</definedName>
    <definedName name="et_VOTV_TARIFF_A_VOTV_NTAR">'ВО. Т-во'!$2:$13</definedName>
    <definedName name="et_VOTV_TARIFF_A_VOTV_PERIOD_COLOR">'ВО. Т-во'!$AC$7:$AI$8</definedName>
    <definedName name="et_VOTV_TARIFF_A_VOTV_PERIOD_NOT_COLOR">'ВО. Т-во'!$AC$15:$AI$16</definedName>
    <definedName name="et_VOTV_TARIFF_A_VOTV_TER">'ВО. Т-во'!$3:$12</definedName>
    <definedName name="et_VOTV_TARIFF_A_VOTV_TN">'ВО. Т-во'!$7:$8</definedName>
    <definedName name="et_VOTV_TARIFF_B_VOTV_CS">'ВО. Т-транс'!$4:$11</definedName>
    <definedName name="et_VOTV_TARIFF_B_VOTV_DATA_DIFF">'ВО. Т-транс'!$7:$8</definedName>
    <definedName name="et_VOTV_TARIFF_B_VOTV_FLAG_DIFF">'ВО. Т-транс'!$5:$10</definedName>
    <definedName name="et_VOTV_TARIFF_B_VOTV_GC">'ВО. Т-транс'!$6:$9</definedName>
    <definedName name="et_VOTV_TARIFF_B_VOTV_NTAR">'ВО. Т-транс'!$2:$13</definedName>
    <definedName name="et_VOTV_TARIFF_B_VOTV_PERIOD_COLOR">'ВО. Т-транс'!$AC$7:$AI$8</definedName>
    <definedName name="et_VOTV_TARIFF_B_VOTV_PERIOD_NOT_COLOR">'ВО. Т-транс'!$AC$15:$AI$16</definedName>
    <definedName name="et_VOTV_TARIFF_B_VOTV_TER">'ВО. Т-транс'!$3:$12</definedName>
    <definedName name="et_VOTV_TARIFF_B_VOTV_TN">'ВО. Т-транс'!$7:$8</definedName>
    <definedName name="et_VOTV_TARIFF_C_VOTV_CS">'ВО. Т-подкл'!$4:$16</definedName>
    <definedName name="et_VOTV_TARIFF_C_VOTV_DATA_DIFF">'ВО. Т-подкл'!$8:$12</definedName>
    <definedName name="et_VOTV_TARIFF_C_VOTV_DIAMETERS">'ВО. Т-подкл'!$8:$10</definedName>
    <definedName name="et_VOTV_TARIFF_C_VOTV_FLAG_DIFF">'ВО. Т-подкл'!$6:$14</definedName>
    <definedName name="et_VOTV_TARIFF_C_VOTV_GC">'ВО. Т-подкл'!$7:$13</definedName>
    <definedName name="et_VOTV_TARIFF_C_VOTV_LEN">'ВО. Т-подкл'!$8:$9</definedName>
    <definedName name="et_VOTV_TARIFF_C_VOTV_LOAD">'ВО. Т-подкл'!$8:$11</definedName>
    <definedName name="et_VOTV_TARIFF_C_VOTV_NETS">'ВО. Т-подкл'!$8:$8</definedName>
    <definedName name="et_VOTV_TARIFF_C_VOTV_NTAR">'ВО. Т-подкл'!$2:$18</definedName>
    <definedName name="et_VOTV_TARIFF_C_VOTV_PERIOD_COLOR">'ВО. Т-подкл'!$AT$8:$BA$8</definedName>
    <definedName name="et_VOTV_TARIFF_C_VOTV_PERIOD_NOT_COLOR">'ВО. Т-подкл'!$AT$20:$BA$20</definedName>
    <definedName name="et_VOTV_TARIFF_C_VOTV_TER">'ВО. Т-подкл'!$3:$17</definedName>
    <definedName name="f_quart">Титульный!$F$15</definedName>
    <definedName name="f_year">Титульный!$F$14</definedName>
    <definedName name="FHD_NAME_FORM">DATA_FORMS!$C$6</definedName>
    <definedName name="FHD_NOTE_P_1">DATA_NPA!$N$18</definedName>
    <definedName name="FHD_NOTE_P_10">DATA_NPA!$N$27</definedName>
    <definedName name="FHD_NOTE_P_11">DATA_NPA!$N$28</definedName>
    <definedName name="FHD_NOTE_P_12">DATA_NPA!$N$29</definedName>
    <definedName name="FHD_NOTE_P_13">DATA_NPA!$N$30</definedName>
    <definedName name="FHD_NOTE_P_14">DATA_NPA!$N$31</definedName>
    <definedName name="FHD_NOTE_P_15">DATA_NPA!$N$32</definedName>
    <definedName name="FHD_NOTE_P_16">DATA_NPA!$N$33</definedName>
    <definedName name="FHD_NOTE_P_17">DATA_NPA!$N$34</definedName>
    <definedName name="FHD_NOTE_P_18">DATA_NPA!$N$35</definedName>
    <definedName name="FHD_NOTE_P_19">DATA_NPA!$N$36</definedName>
    <definedName name="FHD_NOTE_P_2">DATA_NPA!$N$19</definedName>
    <definedName name="FHD_NOTE_P_20">DATA_NPA!$N$37</definedName>
    <definedName name="FHD_NOTE_P_21">DATA_NPA!$N$38</definedName>
    <definedName name="FHD_NOTE_P_22">DATA_NPA!$N$39</definedName>
    <definedName name="FHD_NOTE_P_23">DATA_NPA!$N$40</definedName>
    <definedName name="FHD_NOTE_P_24">DATA_NPA!$N$41</definedName>
    <definedName name="FHD_NOTE_P_25">DATA_NPA!$N$42</definedName>
    <definedName name="FHD_NOTE_P_26">DATA_NPA!$N$43</definedName>
    <definedName name="FHD_NOTE_P_27">DATA_NPA!$N$44</definedName>
    <definedName name="FHD_NOTE_P_28">DATA_NPA!$N$45</definedName>
    <definedName name="FHD_NOTE_P_29">DATA_NPA!$N$46</definedName>
    <definedName name="FHD_NOTE_P_3">DATA_NPA!$N$20</definedName>
    <definedName name="FHD_NOTE_P_30">DATA_NPA!$N$47</definedName>
    <definedName name="FHD_NOTE_P_31">DATA_NPA!$N$48</definedName>
    <definedName name="FHD_NOTE_P_32">DATA_NPA!$N$49</definedName>
    <definedName name="FHD_NOTE_P_33">DATA_NPA!$N$50</definedName>
    <definedName name="FHD_NOTE_P_34">DATA_NPA!$N$51</definedName>
    <definedName name="FHD_NOTE_P_35">DATA_NPA!$N$52</definedName>
    <definedName name="FHD_NOTE_P_36">DATA_NPA!$N$53</definedName>
    <definedName name="FHD_NOTE_P_37">DATA_NPA!$N$54</definedName>
    <definedName name="FHD_NOTE_P_38">DATA_NPA!$N$55</definedName>
    <definedName name="FHD_NOTE_P_39">DATA_NPA!$N$56</definedName>
    <definedName name="FHD_NOTE_P_4">DATA_NPA!$N$21</definedName>
    <definedName name="FHD_NOTE_P_40">DATA_NPA!$N$57</definedName>
    <definedName name="FHD_NOTE_P_41">DATA_NPA!$N$58</definedName>
    <definedName name="FHD_NOTE_P_42">DATA_NPA!$N$59</definedName>
    <definedName name="FHD_NOTE_P_43">DATA_NPA!$N$60</definedName>
    <definedName name="FHD_NOTE_P_44">DATA_NPA!$N$61</definedName>
    <definedName name="FHD_NOTE_P_45">DATA_NPA!$N$62</definedName>
    <definedName name="FHD_NOTE_P_46">DATA_NPA!$N$63</definedName>
    <definedName name="FHD_NOTE_P_47">DATA_NPA!$N$64</definedName>
    <definedName name="FHD_NOTE_P_48">DATA_NPA!$N$65</definedName>
    <definedName name="FHD_NOTE_P_49">DATA_NPA!$N$66</definedName>
    <definedName name="FHD_NOTE_P_5">DATA_NPA!$N$22</definedName>
    <definedName name="FHD_NOTE_P_50">DATA_NPA!$N$67</definedName>
    <definedName name="FHD_NOTE_P_51">DATA_NPA!$N$68</definedName>
    <definedName name="FHD_NOTE_P_52">DATA_NPA!$N$69</definedName>
    <definedName name="FHD_NOTE_P_53">DATA_NPA!$N$70</definedName>
    <definedName name="FHD_NOTE_P_54">DATA_NPA!$N$71</definedName>
    <definedName name="FHD_NOTE_P_55">DATA_NPA!$N$72</definedName>
    <definedName name="FHD_NOTE_P_56">DATA_NPA!$N$73</definedName>
    <definedName name="FHD_NOTE_P_57">DATA_NPA!$N$74</definedName>
    <definedName name="FHD_NOTE_P_58">DATA_NPA!$N$75</definedName>
    <definedName name="FHD_NOTE_P_59">DATA_NPA!$N$76</definedName>
    <definedName name="FHD_NOTE_P_6">DATA_NPA!$N$23</definedName>
    <definedName name="FHD_NOTE_P_60">DATA_NPA!$N$77</definedName>
    <definedName name="FHD_NOTE_P_61">DATA_NPA!$N$78</definedName>
    <definedName name="FHD_NOTE_P_62">DATA_NPA!$N$79</definedName>
    <definedName name="FHD_NOTE_P_63">DATA_NPA!$N$80</definedName>
    <definedName name="FHD_NOTE_P_64">DATA_NPA!$N$81</definedName>
    <definedName name="FHD_NOTE_P_65">DATA_NPA!$N$82</definedName>
    <definedName name="FHD_NOTE_P_66">DATA_NPA!$N$83</definedName>
    <definedName name="FHD_NOTE_P_67">DATA_NPA!$N$84</definedName>
    <definedName name="FHD_NOTE_P_68">DATA_NPA!$N$85</definedName>
    <definedName name="FHD_NOTE_P_69">DATA_NPA!$N$86</definedName>
    <definedName name="FHD_NOTE_P_7">DATA_NPA!$N$24</definedName>
    <definedName name="FHD_NOTE_P_70">DATA_NPA!$N$87</definedName>
    <definedName name="FHD_NOTE_P_71">DATA_NPA!$N$88</definedName>
    <definedName name="FHD_NOTE_P_72">DATA_NPA!$N$89</definedName>
    <definedName name="FHD_NOTE_P_73">DATA_NPA!$N$90</definedName>
    <definedName name="FHD_NOTE_P_74">DATA_NPA!$N$91</definedName>
    <definedName name="FHD_NOTE_P_75">DATA_NPA!$N$92</definedName>
    <definedName name="FHD_NOTE_P_76">DATA_NPA!$N$93</definedName>
    <definedName name="FHD_NOTE_P_77">DATA_NPA!$N$94</definedName>
    <definedName name="FHD_NOTE_P_78">DATA_NPA!$N$95</definedName>
    <definedName name="FHD_NOTE_P_79">DATA_NPA!$N$96</definedName>
    <definedName name="FHD_NOTE_P_8">DATA_NPA!$N$25</definedName>
    <definedName name="FHD_NOTE_P_80">DATA_NPA!$N$97</definedName>
    <definedName name="FHD_NOTE_P_81">DATA_NPA!$N$98</definedName>
    <definedName name="FHD_NOTE_P_82">DATA_NPA!$N$99</definedName>
    <definedName name="FHD_NOTE_P_83">DATA_NPA!$N$100</definedName>
    <definedName name="FHD_NOTE_P_84">DATA_NPA!$N$101</definedName>
    <definedName name="FHD_NOTE_P_9">DATA_NPA!$N$26</definedName>
    <definedName name="FHD_NUM_P_1">DATA_NPA!$L$18</definedName>
    <definedName name="FHD_NUM_P_10">DATA_NPA!$L$27</definedName>
    <definedName name="FHD_NUM_P_11">DATA_NPA!$L$28</definedName>
    <definedName name="FHD_NUM_P_12">DATA_NPA!$L$29</definedName>
    <definedName name="FHD_NUM_P_13">DATA_NPA!$L$30</definedName>
    <definedName name="FHD_NUM_P_14">DATA_NPA!$L$31</definedName>
    <definedName name="FHD_NUM_P_15">DATA_NPA!$L$32</definedName>
    <definedName name="FHD_NUM_P_16">DATA_NPA!$L$33</definedName>
    <definedName name="FHD_NUM_P_17">DATA_NPA!$L$34</definedName>
    <definedName name="FHD_NUM_P_18">DATA_NPA!$L$35</definedName>
    <definedName name="FHD_NUM_P_19">DATA_NPA!$L$36</definedName>
    <definedName name="FHD_NUM_P_2">DATA_NPA!$L$19</definedName>
    <definedName name="FHD_NUM_P_20">DATA_NPA!$L$37</definedName>
    <definedName name="FHD_NUM_P_21">DATA_NPA!$L$38</definedName>
    <definedName name="FHD_NUM_P_22">DATA_NPA!$L$39</definedName>
    <definedName name="FHD_NUM_P_23">DATA_NPA!$L$40</definedName>
    <definedName name="FHD_NUM_P_24">DATA_NPA!$L$41</definedName>
    <definedName name="FHD_NUM_P_25">DATA_NPA!$L$42</definedName>
    <definedName name="FHD_NUM_P_26">DATA_NPA!$L$43</definedName>
    <definedName name="FHD_NUM_P_27">DATA_NPA!$L$44</definedName>
    <definedName name="FHD_NUM_P_28">DATA_NPA!$L$45</definedName>
    <definedName name="FHD_NUM_P_29">DATA_NPA!$L$46</definedName>
    <definedName name="FHD_NUM_P_3">DATA_NPA!$L$20</definedName>
    <definedName name="FHD_NUM_P_30">DATA_NPA!$L$47</definedName>
    <definedName name="FHD_NUM_P_31">DATA_NPA!$L$48</definedName>
    <definedName name="FHD_NUM_P_32">DATA_NPA!$L$49</definedName>
    <definedName name="FHD_NUM_P_33">DATA_NPA!$L$50</definedName>
    <definedName name="FHD_NUM_P_34">DATA_NPA!$L$51</definedName>
    <definedName name="FHD_NUM_P_35">DATA_NPA!$L$52</definedName>
    <definedName name="FHD_NUM_P_36">DATA_NPA!$L$53</definedName>
    <definedName name="FHD_NUM_P_37">DATA_NPA!$L$54</definedName>
    <definedName name="FHD_NUM_P_38">DATA_NPA!$L$55</definedName>
    <definedName name="FHD_NUM_P_39">DATA_NPA!$L$56</definedName>
    <definedName name="FHD_NUM_P_4">DATA_NPA!$L$21</definedName>
    <definedName name="FHD_NUM_P_40">DATA_NPA!$L$57</definedName>
    <definedName name="FHD_NUM_P_41">DATA_NPA!$L$58</definedName>
    <definedName name="FHD_NUM_P_42">DATA_NPA!$L$59</definedName>
    <definedName name="FHD_NUM_P_43">DATA_NPA!$L$60</definedName>
    <definedName name="FHD_NUM_P_44">DATA_NPA!$L$61</definedName>
    <definedName name="FHD_NUM_P_45">DATA_NPA!$L$62</definedName>
    <definedName name="FHD_NUM_P_46">DATA_NPA!$L$63</definedName>
    <definedName name="FHD_NUM_P_47">DATA_NPA!$L$64</definedName>
    <definedName name="FHD_NUM_P_48">DATA_NPA!$L$65</definedName>
    <definedName name="FHD_NUM_P_49">DATA_NPA!$L$66</definedName>
    <definedName name="FHD_NUM_P_5">DATA_NPA!$L$22</definedName>
    <definedName name="FHD_NUM_P_50">DATA_NPA!$L$67</definedName>
    <definedName name="FHD_NUM_P_51">DATA_NPA!$L$68</definedName>
    <definedName name="FHD_NUM_P_52">DATA_NPA!$L$69</definedName>
    <definedName name="FHD_NUM_P_53">DATA_NPA!$L$70</definedName>
    <definedName name="FHD_NUM_P_54">DATA_NPA!$L$71</definedName>
    <definedName name="FHD_NUM_P_55">DATA_NPA!$L$72</definedName>
    <definedName name="FHD_NUM_P_56">DATA_NPA!$L$73</definedName>
    <definedName name="FHD_NUM_P_57">DATA_NPA!$L$74</definedName>
    <definedName name="FHD_NUM_P_58">DATA_NPA!$L$75</definedName>
    <definedName name="FHD_NUM_P_59">DATA_NPA!$L$76</definedName>
    <definedName name="FHD_NUM_P_6">DATA_NPA!$L$23</definedName>
    <definedName name="FHD_NUM_P_60">DATA_NPA!$L$77</definedName>
    <definedName name="FHD_NUM_P_61">DATA_NPA!$L$78</definedName>
    <definedName name="FHD_NUM_P_62">DATA_NPA!$L$79</definedName>
    <definedName name="FHD_NUM_P_63">DATA_NPA!$L$80</definedName>
    <definedName name="FHD_NUM_P_64">DATA_NPA!$L$81</definedName>
    <definedName name="FHD_NUM_P_65">DATA_NPA!$L$82</definedName>
    <definedName name="FHD_NUM_P_66">DATA_NPA!$L$83</definedName>
    <definedName name="FHD_NUM_P_67">DATA_NPA!$L$84</definedName>
    <definedName name="FHD_NUM_P_68">DATA_NPA!$L$85</definedName>
    <definedName name="FHD_NUM_P_69">DATA_NPA!$L$86</definedName>
    <definedName name="FHD_NUM_P_7">DATA_NPA!$L$24</definedName>
    <definedName name="FHD_NUM_P_70">DATA_NPA!$L$87</definedName>
    <definedName name="FHD_NUM_P_71">DATA_NPA!$L$88</definedName>
    <definedName name="FHD_NUM_P_72">DATA_NPA!$L$89</definedName>
    <definedName name="FHD_NUM_P_73">DATA_NPA!$L$90</definedName>
    <definedName name="FHD_NUM_P_74">DATA_NPA!$L$91</definedName>
    <definedName name="FHD_NUM_P_75">DATA_NPA!$L$92</definedName>
    <definedName name="FHD_NUM_P_76">DATA_NPA!$L$93</definedName>
    <definedName name="FHD_NUM_P_77">DATA_NPA!$L$94</definedName>
    <definedName name="FHD_NUM_P_78">DATA_NPA!$L$95</definedName>
    <definedName name="FHD_NUM_P_79">DATA_NPA!$L$96</definedName>
    <definedName name="FHD_NUM_P_8">DATA_NPA!$L$25</definedName>
    <definedName name="FHD_NUM_P_80">DATA_NPA!$L$97</definedName>
    <definedName name="FHD_NUM_P_81">DATA_NPA!$L$98</definedName>
    <definedName name="FHD_NUM_P_82">DATA_NPA!$L$99</definedName>
    <definedName name="FHD_NUM_P_83">DATA_NPA!$L$100</definedName>
    <definedName name="FHD_NUM_P_84">DATA_NPA!$L$101</definedName>
    <definedName name="FHD_NUM_P_9">DATA_NPA!$L$26</definedName>
    <definedName name="FHD_NUM_P_A">DATA_NPA!$L$18</definedName>
    <definedName name="FHD_P_1">DATA_NPA!$M$18</definedName>
    <definedName name="FHD_P_10">DATA_NPA!$M$27</definedName>
    <definedName name="FHD_P_11">DATA_NPA!$M$28</definedName>
    <definedName name="FHD_P_12">DATA_NPA!$M$29</definedName>
    <definedName name="FHD_P_13">DATA_NPA!$M$30</definedName>
    <definedName name="FHD_P_14">DATA_NPA!$M$31</definedName>
    <definedName name="FHD_P_15">DATA_NPA!$M$32</definedName>
    <definedName name="FHD_P_16">DATA_NPA!$M$33</definedName>
    <definedName name="FHD_P_17">DATA_NPA!$M$34</definedName>
    <definedName name="FHD_P_18">DATA_NPA!$M$35</definedName>
    <definedName name="FHD_P_19">DATA_NPA!$M$36</definedName>
    <definedName name="FHD_P_2">DATA_NPA!$M$19</definedName>
    <definedName name="FHD_P_20">DATA_NPA!$M$37</definedName>
    <definedName name="FHD_P_21">DATA_NPA!$M$38</definedName>
    <definedName name="FHD_P_22">DATA_NPA!$M$39</definedName>
    <definedName name="FHD_P_23">DATA_NPA!$M$40</definedName>
    <definedName name="FHD_P_24">DATA_NPA!$M$41</definedName>
    <definedName name="FHD_P_25">DATA_NPA!$M$42</definedName>
    <definedName name="FHD_P_26">DATA_NPA!$M$43</definedName>
    <definedName name="FHD_P_27">DATA_NPA!$M$44</definedName>
    <definedName name="FHD_P_28">DATA_NPA!$M$45</definedName>
    <definedName name="FHD_P_29">DATA_NPA!$M$46</definedName>
    <definedName name="FHD_P_3">DATA_NPA!$M$20</definedName>
    <definedName name="FHD_P_30">DATA_NPA!$M$47</definedName>
    <definedName name="FHD_P_31">DATA_NPA!$M$48</definedName>
    <definedName name="FHD_P_32">DATA_NPA!$M$49</definedName>
    <definedName name="FHD_P_33">DATA_NPA!$M$50</definedName>
    <definedName name="FHD_P_34">DATA_NPA!$M$51</definedName>
    <definedName name="FHD_P_35">DATA_NPA!$M$52</definedName>
    <definedName name="FHD_P_36">DATA_NPA!$M$53</definedName>
    <definedName name="FHD_P_37">DATA_NPA!$M$54</definedName>
    <definedName name="FHD_P_38">DATA_NPA!$M$55</definedName>
    <definedName name="FHD_P_39">DATA_NPA!$M$56</definedName>
    <definedName name="FHD_P_4">DATA_NPA!$M$21</definedName>
    <definedName name="FHD_P_40">DATA_NPA!$M$57</definedName>
    <definedName name="FHD_P_41">DATA_NPA!$M$58</definedName>
    <definedName name="FHD_P_42">DATA_NPA!$M$59</definedName>
    <definedName name="FHD_P_43">DATA_NPA!$M$60</definedName>
    <definedName name="FHD_P_44">DATA_NPA!$M$61</definedName>
    <definedName name="FHD_P_45">DATA_NPA!$M$62</definedName>
    <definedName name="FHD_P_46">DATA_NPA!$M$63</definedName>
    <definedName name="FHD_P_47">DATA_NPA!$M$64</definedName>
    <definedName name="FHD_P_48">DATA_NPA!$M$65</definedName>
    <definedName name="FHD_P_49">DATA_NPA!$M$66</definedName>
    <definedName name="FHD_P_5">DATA_NPA!$M$22</definedName>
    <definedName name="FHD_P_50">DATA_NPA!$M$67</definedName>
    <definedName name="FHD_P_51">DATA_NPA!$M$68</definedName>
    <definedName name="FHD_P_52">DATA_NPA!$M$69</definedName>
    <definedName name="FHD_P_53">DATA_NPA!$M$70</definedName>
    <definedName name="FHD_P_54">DATA_NPA!$M$71</definedName>
    <definedName name="FHD_P_55">DATA_NPA!$M$72</definedName>
    <definedName name="FHD_P_56">DATA_NPA!$M$73</definedName>
    <definedName name="FHD_P_57">DATA_NPA!$M$74</definedName>
    <definedName name="FHD_P_58">DATA_NPA!$M$75</definedName>
    <definedName name="FHD_P_59">DATA_NPA!$M$76</definedName>
    <definedName name="FHD_P_6">DATA_NPA!$M$23</definedName>
    <definedName name="FHD_P_60">DATA_NPA!$M$77</definedName>
    <definedName name="FHD_P_61">DATA_NPA!$M$78</definedName>
    <definedName name="FHD_P_62">DATA_NPA!$M$79</definedName>
    <definedName name="FHD_P_63">DATA_NPA!$M$80</definedName>
    <definedName name="FHD_P_64">DATA_NPA!$M$81</definedName>
    <definedName name="FHD_P_65">DATA_NPA!$M$82</definedName>
    <definedName name="FHD_P_66">DATA_NPA!$M$83</definedName>
    <definedName name="FHD_P_67">DATA_NPA!$M$84</definedName>
    <definedName name="FHD_P_68">DATA_NPA!$M$85</definedName>
    <definedName name="FHD_P_69">DATA_NPA!$M$86</definedName>
    <definedName name="FHD_P_7">DATA_NPA!$M$24</definedName>
    <definedName name="FHD_P_70">DATA_NPA!$M$87</definedName>
    <definedName name="FHD_P_71">DATA_NPA!$M$88</definedName>
    <definedName name="FHD_P_72">DATA_NPA!$M$89</definedName>
    <definedName name="FHD_P_73">DATA_NPA!$M$90</definedName>
    <definedName name="FHD_P_74">DATA_NPA!$M$91</definedName>
    <definedName name="FHD_P_75">DATA_NPA!$M$92</definedName>
    <definedName name="FHD_P_76">DATA_NPA!$M$93</definedName>
    <definedName name="FHD_P_77">DATA_NPA!$M$94</definedName>
    <definedName name="FHD_P_78">DATA_NPA!$M$95</definedName>
    <definedName name="FHD_P_79">DATA_NPA!$M$96</definedName>
    <definedName name="FHD_P_8">DATA_NPA!$M$25</definedName>
    <definedName name="FHD_P_80">DATA_NPA!$M$97</definedName>
    <definedName name="FHD_P_81">DATA_NPA!$M$98</definedName>
    <definedName name="FHD_P_82">DATA_NPA!$M$99</definedName>
    <definedName name="FHD_P_83">DATA_NPA!$M$100</definedName>
    <definedName name="FHD_P_84">DATA_NPA!$M$101</definedName>
    <definedName name="FHD_P_9">DATA_NPA!$M$26</definedName>
    <definedName name="FHD_P_A">DATA_NPA!$M$18</definedName>
    <definedName name="FHD20_NAME_FORM">DATA_FORMS!$C$7</definedName>
    <definedName name="fil">Титульный!$F$32</definedName>
    <definedName name="HEAT_FIN_SRC_LIST">TEHSHEET!$BH$4:$BH$26</definedName>
    <definedName name="HEAT_FIN_SRC_VLD_LIST">TEHSHEET!$BH$39:$BH$54</definedName>
    <definedName name="HEAT_IP_EVENT_CI_STAGE_LIST">TEHSHEET!$BH$97:$BH$99</definedName>
    <definedName name="HEAT_IP_EVENT_GROUP_LIST">TEHSHEET!$BH$69:$BH$76</definedName>
    <definedName name="HEAT_IP_EVENT_SUBGROUP_1_LIST">TEHSHEET!$BH$80:$BH$83</definedName>
    <definedName name="HEAT_IP_EVENT_SUBGROUP_3_LIST">TEHSHEET!$BH$87:$BH$88</definedName>
    <definedName name="HEAT_IP_EVENT_SUBGROUP_5_LIST">TEHSHEET!$BH$92:$BH$93</definedName>
    <definedName name="HEAT_IP_EVENT_TYPE_LIST">TEHSHEET!$BH$108:$BH$110</definedName>
    <definedName name="HEAT_PT_SCHEME">TEHSHEET!$BH$115:$BH$118</definedName>
    <definedName name="HEAT_PT_TARIFF_ID">TEHSHEET!$BQ$5:$BQ$14</definedName>
    <definedName name="HEAT_PT_TARIFF_NAME">TEHSHEET!$BR$5:$BR$14</definedName>
    <definedName name="HEAT_PT_TARIFF_NAME_LIST">TEHSHEET!$BQ$5:$BR$14</definedName>
    <definedName name="HEAT_PT_VED_ID">TEHSHEET!$BQ$19:$BQ$28</definedName>
    <definedName name="HEAT_PT_VED_NAME">TEHSHEET!$BR$19:$BR$28</definedName>
    <definedName name="HEAT_PT_VED_NAME_LIST">TEHSHEET!$BQ$19:$BR$28</definedName>
    <definedName name="HEAT_TARIFF_A_ADD_HL_COLUMN_MARKER">'ТС. Т-ТЭ | &gt;=25МВт'!$T$36</definedName>
    <definedName name="HEAT_TARIFF_A_DEL_HL_GC_COLUMN_MARKER">'ТС. Т-ТЭ | &gt;=25МВт'!$Q$36</definedName>
    <definedName name="HEAT_TARIFF_A_DEL_HL_SCHEME_COLUMN_MARKER">'ТС. Т-ТЭ | &gt;=25МВт'!$P$36</definedName>
    <definedName name="HEAT_TARIFF_A_DEL_HL_TN_COLUMN_MARKER">'ТС. Т-ТЭ | &gt;=25МВт'!$R$36</definedName>
    <definedName name="HEAT_TARIFF_A_DELETE_PERIOD_ROW_MARKER">'ТС. Т-ТЭ | &gt;=25МВт'!$O$37</definedName>
    <definedName name="HEAT_TARIFF_A_FLAG_BLOCK_COLUMN_MARKER">'ТС. Т-ТЭ | &gt;=25МВт'!$L$41</definedName>
    <definedName name="HEAT_TARIFF_A_FLAG_BLOCK_ROW_MARKER">'ТС. Т-ТЭ | &gt;=25МВт'!$O$22</definedName>
    <definedName name="HEAT_TARIFF_A_NUM_CS_COLUMN_MARKER">'ТС. Т-ТЭ | &gt;=25МВт'!$G$41</definedName>
    <definedName name="HEAT_TARIFF_A_NUM_GC_COLUMN_MARKER">'ТС. Т-ТЭ | &gt;=25МВт'!$J$41</definedName>
    <definedName name="HEAT_TARIFF_A_NUM_IST_TE_COLUMN_MARKER">'ТС. Т-ТЭ | &gt;=25МВт'!$H$41</definedName>
    <definedName name="HEAT_TARIFF_A_NUM_NTAR_COLUMN_MARKER">'ТС. Т-ТЭ | &gt;=25МВт'!$E$41</definedName>
    <definedName name="HEAT_TARIFF_A_NUM_SCHEME_COLUMN_MARKER">'ТС. Т-ТЭ | &gt;=25МВт'!$I$41</definedName>
    <definedName name="HEAT_TARIFF_A_NUM_TER_COLUMN_MARKER">'ТС. Т-ТЭ | &gt;=25МВт'!$F$41</definedName>
    <definedName name="HEAT_TARIFF_A_NUM_TN_COLUMN_MARKER">'ТС. Т-ТЭ | &gt;=25МВт'!$K$41</definedName>
    <definedName name="HEAT_TARIFF_B_ADD_HL_COLUMN_MARKER">'ТС. Т-ТЭ | ТСО'!$T$36</definedName>
    <definedName name="HEAT_TARIFF_B_DEL_HL_GC_COLUMN_MARKER">'ТС. Т-ТЭ | ТСО'!$Q$36</definedName>
    <definedName name="HEAT_TARIFF_B_DEL_HL_SCHEME_COLUMN_MARKER">'ТС. Т-ТЭ | ТСО'!$P$36</definedName>
    <definedName name="HEAT_TARIFF_B_DEL_HL_TN_COLUMN_MARKER">'ТС. Т-ТЭ | ТСО'!$R$36</definedName>
    <definedName name="HEAT_TARIFF_B_DELETE_PERIOD_ROW_MARKER">'ТС. Т-ТЭ | ТСО'!$O$37</definedName>
    <definedName name="HEAT_TARIFF_B_FLAG_BLOCK_COLUMN_MARKER">'ТС. Т-ТЭ | ТСО'!$L$41</definedName>
    <definedName name="HEAT_TARIFF_B_FLAG_BLOCK_ROW_MARKER">'ТС. Т-ТЭ | ТСО'!$O$22</definedName>
    <definedName name="HEAT_TARIFF_B_NUM_CS_COLUMN_MARKER">'ТС. Т-ТЭ | ТСО'!$G$41</definedName>
    <definedName name="HEAT_TARIFF_B_NUM_GC_COLUMN_MARKER">'ТС. Т-ТЭ | ТСО'!$J$41</definedName>
    <definedName name="HEAT_TARIFF_B_NUM_IST_TE_COLUMN_MARKER">'ТС. Т-ТЭ | ТСО'!$H$41</definedName>
    <definedName name="HEAT_TARIFF_B_NUM_NTAR_COLUMN_MARKER">'ТС. Т-ТЭ | ТСО'!$E$41</definedName>
    <definedName name="HEAT_TARIFF_B_NUM_SCHEME_COLUMN_MARKER">'ТС. Т-ТЭ | ТСО'!$I$41</definedName>
    <definedName name="HEAT_TARIFF_B_NUM_TER_COLUMN_MARKER">'ТС. Т-ТЭ | ТСО'!$F$41</definedName>
    <definedName name="HEAT_TARIFF_B_NUM_TN_COLUMN_MARKER">'ТС. Т-ТЭ | ТСО'!$K$41</definedName>
    <definedName name="HEAT_TARIFF_C_ADD_HL_COLUMN_MARKER">'ТС. Т-ТН'!$T$36</definedName>
    <definedName name="HEAT_TARIFF_C_DEL_HL_GC_COLUMN_MARKER">'ТС. Т-ТН'!$Q$36</definedName>
    <definedName name="HEAT_TARIFF_C_DEL_HL_SCHEME_COLUMN_MARKER">'ТС. Т-ТН'!$P$36</definedName>
    <definedName name="HEAT_TARIFF_C_DEL_HL_TN_COLUMN_MARKER">'ТС. Т-ТН'!$R$36</definedName>
    <definedName name="HEAT_TARIFF_C_DELETE_PERIOD_ROW_MARKER">'ТС. Т-ТН'!$O$37</definedName>
    <definedName name="HEAT_TARIFF_C_FLAG_BLOCK_COLUMN_MARKER">'ТС. Т-ТН'!$L$41</definedName>
    <definedName name="HEAT_TARIFF_C_FLAG_BLOCK_ROW_MARKER">'ТС. Т-ТН'!$O$22</definedName>
    <definedName name="HEAT_TARIFF_C_NUM_CS_COLUMN_MARKER">'ТС. Т-ТН'!$G$41</definedName>
    <definedName name="HEAT_TARIFF_C_NUM_GC_COLUMN_MARKER">'ТС. Т-ТН'!$J$41</definedName>
    <definedName name="HEAT_TARIFF_C_NUM_IST_TE_COLUMN_MARKER">'ТС. Т-ТН'!$H$41</definedName>
    <definedName name="HEAT_TARIFF_C_NUM_NTAR_COLUMN_MARKER">'ТС. Т-ТН'!$E$41</definedName>
    <definedName name="HEAT_TARIFF_C_NUM_SCHEME_COLUMN_MARKER">'ТС. Т-ТН'!$I$41</definedName>
    <definedName name="HEAT_TARIFF_C_NUM_TER_COLUMN_MARKER">'ТС. Т-ТН'!$F$41</definedName>
    <definedName name="HEAT_TARIFF_C_NUM_TN_COLUMN_MARKER">'ТС. Т-ТН'!$K$41</definedName>
    <definedName name="HEAT_TARIFF_D_ADD_HL_COLUMN_MARKER">'ТС. Т-гор.вода'!$V$40</definedName>
    <definedName name="HEAT_TARIFF_D_DEL_HL_CONS_COLUMN_MARKER">'ТС. Т-гор.вода'!$T$40</definedName>
    <definedName name="HEAT_TARIFF_D_DEL_HL_GC_COLUMN_MARKER">'ТС. Т-гор.вода'!$R$40</definedName>
    <definedName name="HEAT_TARIFF_D_DEL_HL_SCHEME_COLUMN_MARKER">'ТС. Т-гор.вода'!$Q$40</definedName>
    <definedName name="HEAT_TARIFF_D_DEL_HL_TN_COLUMN_MARKER">'ТС. Т-гор.вода'!$S$40</definedName>
    <definedName name="HEAT_TARIFF_D_DELETE_PERIOD_ROW_MARKER">'ТС. Т-гор.вода'!$P$41</definedName>
    <definedName name="HEAT_TARIFF_D_FLAG_BLOCK_COLUMN_MARKER">'ТС. Т-гор.вода'!$M$47</definedName>
    <definedName name="HEAT_TARIFF_D_FLAG_BLOCK_ROW_MARKER">'ТС. Т-гор.вода'!$P$26</definedName>
    <definedName name="HEAT_TARIFF_D_NUM_CONS_COLUMN_MARKER">'ТС. Т-гор.вода'!$L$47</definedName>
    <definedName name="HEAT_TARIFF_D_NUM_CS_COLUMN_MARKER">'ТС. Т-гор.вода'!$G$47</definedName>
    <definedName name="HEAT_TARIFF_D_NUM_GC_COLUMN_MARKER">'ТС. Т-гор.вода'!$J$47</definedName>
    <definedName name="HEAT_TARIFF_D_NUM_IST_TE_COLUMN_MARKER">'ТС. Т-гор.вода'!$H$47</definedName>
    <definedName name="HEAT_TARIFF_D_NUM_NTAR_COLUMN_MARKER">'ТС. Т-гор.вода'!$E$47</definedName>
    <definedName name="HEAT_TARIFF_D_NUM_SCHEME_COLUMN_MARKER">'ТС. Т-гор.вода'!$I$47</definedName>
    <definedName name="HEAT_TARIFF_D_NUM_TER_COLUMN_MARKER">'ТС. Т-гор.вода'!$F$47</definedName>
    <definedName name="HEAT_TARIFF_D_NUM_TN_COLUMN_MARKER">'ТС. Т-гор.вода'!$K$47</definedName>
    <definedName name="HEAT_TARIFF_E1_ADD_HL_COLUMN_MARKER">'ТС. Т-передача ТЭ'!$T$36</definedName>
    <definedName name="HEAT_TARIFF_E1_DEL_HL_GC_COLUMN_MARKER">'ТС. Т-передача ТЭ'!$Q$36</definedName>
    <definedName name="HEAT_TARIFF_E1_DEL_HL_SCHEME_COLUMN_MARKER">'ТС. Т-передача ТЭ'!$P$36</definedName>
    <definedName name="HEAT_TARIFF_E1_DEL_HL_TN_COLUMN_MARKER">'ТС. Т-передача ТЭ'!$R$36</definedName>
    <definedName name="HEAT_TARIFF_E1_DELETE_PERIOD_ROW_MARKER">'ТС. Т-передача ТЭ'!$O$37</definedName>
    <definedName name="HEAT_TARIFF_E1_FLAG_BLOCK_COLUMN_MARKER">'ТС. Т-передача ТЭ'!$L$41</definedName>
    <definedName name="HEAT_TARIFF_E1_FLAG_BLOCK_ROW_MARKER">'ТС. Т-передача ТЭ'!$O$22</definedName>
    <definedName name="HEAT_TARIFF_E1_NUM_CS_COLUMN_MARKER">'ТС. Т-передача ТЭ'!$G$41</definedName>
    <definedName name="HEAT_TARIFF_E1_NUM_GC_COLUMN_MARKER">'ТС. Т-передача ТЭ'!$J$41</definedName>
    <definedName name="HEAT_TARIFF_E1_NUM_IST_TE_COLUMN_MARKER">'ТС. Т-передача ТЭ'!$H$41</definedName>
    <definedName name="HEAT_TARIFF_E1_NUM_NTAR_COLUMN_MARKER">'ТС. Т-передача ТЭ'!$E$41</definedName>
    <definedName name="HEAT_TARIFF_E1_NUM_SCHEME_COLUMN_MARKER">'ТС. Т-передача ТЭ'!$I$41</definedName>
    <definedName name="HEAT_TARIFF_E1_NUM_TER_COLUMN_MARKER">'ТС. Т-передача ТЭ'!$F$41</definedName>
    <definedName name="HEAT_TARIFF_E1_NUM_TN_COLUMN_MARKER">'ТС. Т-передача ТЭ'!$K$41</definedName>
    <definedName name="HEAT_TARIFF_E2_ADD_HL_COLUMN_MARKER">'ТС. Т-передача ТН'!$T$36</definedName>
    <definedName name="HEAT_TARIFF_E2_DEL_HL_GC_COLUMN_MARKER">'ТС. Т-передача ТН'!$Q$36</definedName>
    <definedName name="HEAT_TARIFF_E2_DEL_HL_SCHEME_COLUMN_MARKER">'ТС. Т-передача ТН'!$P$36</definedName>
    <definedName name="HEAT_TARIFF_E2_DEL_HL_TN_COLUMN_MARKER">'ТС. Т-передача ТН'!$R$36</definedName>
    <definedName name="HEAT_TARIFF_E2_DELETE_PERIOD_ROW_MARKER">'ТС. Т-передача ТН'!$O$37</definedName>
    <definedName name="HEAT_TARIFF_E2_FLAG_BLOCK_COLUMN_MARKER">'ТС. Т-передача ТН'!$L$41</definedName>
    <definedName name="HEAT_TARIFF_E2_FLAG_BLOCK_ROW_MARKER">'ТС. Т-передача ТН'!$O$22</definedName>
    <definedName name="HEAT_TARIFF_E2_NUM_CS_COLUMN_MARKER">'ТС. Т-передача ТН'!$G$41</definedName>
    <definedName name="HEAT_TARIFF_E2_NUM_GC_COLUMN_MARKER">'ТС. Т-передача ТН'!$J$41</definedName>
    <definedName name="HEAT_TARIFF_E2_NUM_IST_TE_COLUMN_MARKER">'ТС. Т-передача ТН'!$H$41</definedName>
    <definedName name="HEAT_TARIFF_E2_NUM_NTAR_COLUMN_MARKER">'ТС. Т-передача ТН'!$E$41</definedName>
    <definedName name="HEAT_TARIFF_E2_NUM_SCHEME_COLUMN_MARKER">'ТС. Т-передача ТН'!$I$41</definedName>
    <definedName name="HEAT_TARIFF_E2_NUM_TER_COLUMN_MARKER">'ТС. Т-передача ТН'!$F$41</definedName>
    <definedName name="HEAT_TARIFF_E2_NUM_TN_COLUMN_MARKER">'ТС. Т-передача ТН'!$K$41</definedName>
    <definedName name="HEAT_TARIFF_F_ADD_HL_COLUMN_MARKER">'ТС. Резерв мощности'!$T$36</definedName>
    <definedName name="HEAT_TARIFF_F_DEL_HL_GC_COLUMN_MARKER">'ТС. Резерв мощности'!$Q$36</definedName>
    <definedName name="HEAT_TARIFF_F_DEL_HL_SCHEME_COLUMN_MARKER">'ТС. Резерв мощности'!$P$36</definedName>
    <definedName name="HEAT_TARIFF_F_DEL_HL_TN_COLUMN_MARKER">'ТС. Резерв мощности'!$R$36</definedName>
    <definedName name="HEAT_TARIFF_F_DELETE_PERIOD_ROW_MARKER">'ТС. Резерв мощности'!$O$37</definedName>
    <definedName name="HEAT_TARIFF_F_FLAG_BLOCK_COLUMN_MARKER">'ТС. Резерв мощности'!$L$41</definedName>
    <definedName name="HEAT_TARIFF_F_FLAG_BLOCK_ROW_MARKER">'ТС. Резерв мощности'!$O$22</definedName>
    <definedName name="HEAT_TARIFF_F_NUM_CS_COLUMN_MARKER">'ТС. Резерв мощности'!$G$41</definedName>
    <definedName name="HEAT_TARIFF_F_NUM_GC_COLUMN_MARKER">'ТС. Резерв мощности'!$J$41</definedName>
    <definedName name="HEAT_TARIFF_F_NUM_IST_TE_COLUMN_MARKER">'ТС. Резерв мощности'!$H$41</definedName>
    <definedName name="HEAT_TARIFF_F_NUM_NTAR_COLUMN_MARKER">'ТС. Резерв мощности'!$E$41</definedName>
    <definedName name="HEAT_TARIFF_F_NUM_SCHEME_COLUMN_MARKER">'ТС. Резерв мощности'!$I$41</definedName>
    <definedName name="HEAT_TARIFF_F_NUM_TER_COLUMN_MARKER">'ТС. Резерв мощности'!$F$41</definedName>
    <definedName name="HEAT_TARIFF_F_NUM_TN_COLUMN_MARKER">'ТС. Резерв мощности'!$K$41</definedName>
    <definedName name="HEAT_TARIFF_G_ADD_HL_COLUMN_MARKER">'ТС. Т-подкл'!$T$37</definedName>
    <definedName name="HEAT_TARIFF_G_ADD_HL_DIAMETERS_COLUMN_MARKER">'ТС. Т-подкл'!$AM$37</definedName>
    <definedName name="HEAT_TARIFF_G_ADD_HL_LOAD_COLUMN_MARKER">'ТС. Т-подкл'!$AE$37</definedName>
    <definedName name="HEAT_TARIFF_G_ADD_HL_NETS_COLUMN_MARKER">'ТС. Т-подкл'!$AI$37</definedName>
    <definedName name="HEAT_TARIFF_G_DEL_HL_DIAMETERS_COLUMN_MARKER">'ТС. Т-подкл'!$AK$37</definedName>
    <definedName name="HEAT_TARIFF_G_DEL_HL_GC_COLUMN_MARKER">'ТС. Т-подкл'!$Q$37</definedName>
    <definedName name="HEAT_TARIFF_G_DEL_HL_LOAD_COLUMN_MARKER">'ТС. Т-подкл'!$AC$37</definedName>
    <definedName name="HEAT_TARIFF_G_DEL_HL_NETS_COLUMN_MARKER">'ТС. Т-подкл'!$AG$37</definedName>
    <definedName name="HEAT_TARIFF_G_DEL_HL_SCHEME_COLUMN_MARKER">'ТС. Т-подкл'!$P$37</definedName>
    <definedName name="HEAT_TARIFF_G_DEL_HL_TN_COLUMN_MARKER">'ТС. Т-подкл'!$R$37</definedName>
    <definedName name="HEAT_TARIFF_G_DELETE_PERIOD_ROW_MARKER">'ТС. Т-подкл'!$O$38</definedName>
    <definedName name="HEAT_TARIFF_G_FLAG_BLOCK_COLUMN_MARKER">'ТС. Т-подкл'!$L$43</definedName>
    <definedName name="HEAT_TARIFF_G_FLAG_BLOCK_ROW_MARKER">'ТС. Т-подкл'!$O$23</definedName>
    <definedName name="HEAT_TARIFF_G_NUM_CS_COLUMN_MARKER">'ТС. Т-подкл'!$G$43</definedName>
    <definedName name="HEAT_TARIFF_G_NUM_DIAMETERS_COLUMN_MARKER">'ТС. Т-подкл'!$AL$37</definedName>
    <definedName name="HEAT_TARIFF_G_NUM_GC_COLUMN_MARKER">'ТС. Т-подкл'!$J$43</definedName>
    <definedName name="HEAT_TARIFF_G_NUM_IST_TE_COLUMN_MARKER">'ТС. Т-подкл'!$H$43</definedName>
    <definedName name="HEAT_TARIFF_G_NUM_LOAD_COLUMN_MARKER">'ТС. Т-подкл'!$AD$37</definedName>
    <definedName name="HEAT_TARIFF_G_NUM_NETS_COLUMN_MARKER">'ТС. Т-подкл'!$AH$37</definedName>
    <definedName name="HEAT_TARIFF_G_NUM_NTAR_COLUMN_MARKER">'ТС. Т-подкл'!$E$43</definedName>
    <definedName name="HEAT_TARIFF_G_NUM_SCHEME_COLUMN_MARKER">'ТС. Т-подкл'!$I$43</definedName>
    <definedName name="HEAT_TARIFF_G_NUM_TER_COLUMN_MARKER">'ТС. Т-подкл'!$F$43</definedName>
    <definedName name="HEAT_TARIFF_G_NUM_TN_COLUMN_MARKER">'ТС. Т-подкл'!$K$43</definedName>
    <definedName name="HOTVSNA_FIN_SRC_LIST">TEHSHEET!$BJ$4:$BJ$34</definedName>
    <definedName name="HOTVSNA_FIN_SRC_VLD_LIST">TEHSHEET!$BJ$39:$BJ$60</definedName>
    <definedName name="HOTVSNA_IP_EVENT_CI_STAGE_LIST">TEHSHEET!$BJ$97:$BJ$100</definedName>
    <definedName name="HOTVSNA_IP_EVENT_GROUP_LIST">TEHSHEET!$BJ$69:$BJ$76</definedName>
    <definedName name="HOTVSNA_IP_EVENT_SUBGROUP_1_LIST">TEHSHEET!$BJ$80:$BJ$83</definedName>
    <definedName name="HOTVSNA_IP_EVENT_SUBGROUP_3_LIST">TEHSHEET!$BJ$87:$BJ$88</definedName>
    <definedName name="HOTVSNA_IP_EVENT_SUBGROUP_5_LIST">TEHSHEET!$BJ$92:$BJ$93</definedName>
    <definedName name="HOTVSNA_IP_EVENT_TYPE_LIST">TEHSHEET!$BJ$108</definedName>
    <definedName name="HOTVSNA_PT_VED_ID">TEHSHEET!$BW$19:$BW$21</definedName>
    <definedName name="HOTVSNA_PT_VED_NAME">TEHSHEET!$BX$19:$BX$21</definedName>
    <definedName name="HOTVSNA_PT_VED_NAME_LIST">TEHSHEET!$BW$19:$BX$21</definedName>
    <definedName name="HOTVSNA_TARIFF_A_HOTVSNA_ADD_HL_COLUMN_MARKER">'ГВС. Т-гор.вода'!$T$34</definedName>
    <definedName name="HOTVSNA_TARIFF_A_HOTVSNA_DEL_HL_DATA_DIFF_COLUMN_MARKER">'ГВС. Т-гор.вода'!$R$34</definedName>
    <definedName name="HOTVSNA_TARIFF_A_HOTVSNA_DEL_HL_FLAG_DIFF_COLUMN_MARKER">'ГВС. Т-гор.вода'!$P$34</definedName>
    <definedName name="HOTVSNA_TARIFF_A_HOTVSNA_DEL_HL_GC_COLUMN_MARKER">'ГВС. Т-гор.вода'!$Q$34</definedName>
    <definedName name="HOTVSNA_TARIFF_A_HOTVSNA_DELETE_PERIOD_ROW_MARKER">'ГВС. Т-гор.вода'!$O$35</definedName>
    <definedName name="HOTVSNA_TARIFF_A_HOTVSNA_FLAG_BLOCK_COLUMN_MARKER">'ГВС. Т-гор.вода'!$L$36</definedName>
    <definedName name="HOTVSNA_TARIFF_A_HOTVSNA_FLAG_BLOCK_ROW_MARKER">'ГВС. Т-гор.вода'!$O$20</definedName>
    <definedName name="HOTVSNA_TARIFF_A_HOTVSNA_NUM_CS_COLUMN_MARKER">'ГВС. Т-гор.вода'!$G$36</definedName>
    <definedName name="HOTVSNA_TARIFF_A_HOTVSNA_NUM_DATA_DIFF_COLUMN_MARKER">'ГВС. Т-гор.вода'!$K$36</definedName>
    <definedName name="HOTVSNA_TARIFF_A_HOTVSNA_NUM_FLAG_DIFF_COLUMN_MARKER">'ГВС. Т-гор.вода'!$I$36</definedName>
    <definedName name="HOTVSNA_TARIFF_A_HOTVSNA_NUM_GC_COLUMN_MARKER">'ГВС. Т-гор.вода'!$J$36</definedName>
    <definedName name="HOTVSNA_TARIFF_A_HOTVSNA_NUM_NTAR_COLUMN_MARKER">'ГВС. Т-гор.вода'!$E$36</definedName>
    <definedName name="HOTVSNA_TARIFF_A_HOTVSNA_NUM_TER_COLUMN_MARKER">'ГВС. Т-гор.вода'!$F$36</definedName>
    <definedName name="HOTVSNA_TARIFF_B_HOTVSNA_ADD_HL_COLUMN_MARKER">'ГВС. Т-транс'!$T$34</definedName>
    <definedName name="HOTVSNA_TARIFF_B_HOTVSNA_DEL_HL_DATA_DIFF_COLUMN_MARKER">'ГВС. Т-транс'!$R$34</definedName>
    <definedName name="HOTVSNA_TARIFF_B_HOTVSNA_DEL_HL_FLAG_DIFF_COLUMN_MARKER">'ГВС. Т-транс'!$P$34</definedName>
    <definedName name="HOTVSNA_TARIFF_B_HOTVSNA_DEL_HL_GC_COLUMN_MARKER">'ГВС. Т-транс'!$Q$34</definedName>
    <definedName name="HOTVSNA_TARIFF_B_HOTVSNA_DELETE_PERIOD_ROW_MARKER">'ГВС. Т-транс'!$O$35</definedName>
    <definedName name="HOTVSNA_TARIFF_B_HOTVSNA_FLAG_BLOCK_COLUMN_MARKER">'ГВС. Т-транс'!$L$36</definedName>
    <definedName name="HOTVSNA_TARIFF_B_HOTVSNA_FLAG_BLOCK_ROW_MARKER">'ГВС. Т-транс'!$O$20</definedName>
    <definedName name="HOTVSNA_TARIFF_B_HOTVSNA_NUM_CS_COLUMN_MARKER">'ГВС. Т-транс'!$G$36</definedName>
    <definedName name="HOTVSNA_TARIFF_B_HOTVSNA_NUM_DATA_DIFF_COLUMN_MARKER">'ГВС. Т-транс'!$K$36</definedName>
    <definedName name="HOTVSNA_TARIFF_B_HOTVSNA_NUM_FLAG_DIFF_COLUMN_MARKER">'ГВС. Т-транс'!$I$36</definedName>
    <definedName name="HOTVSNA_TARIFF_B_HOTVSNA_NUM_GC_COLUMN_MARKER">'ГВС. Т-транс'!$J$36</definedName>
    <definedName name="HOTVSNA_TARIFF_B_HOTVSNA_NUM_NTAR_COLUMN_MARKER">'ГВС. Т-транс'!$E$36</definedName>
    <definedName name="HOTVSNA_TARIFF_B_HOTVSNA_NUM_TER_COLUMN_MARKER">'ГВС. Т-транс'!$F$36</definedName>
    <definedName name="HOTVSNA_TARIFF_C_HOTVSNA_ADD_HL_COLUMN_MARKER">'ГВС. Т-подкл'!$T$38</definedName>
    <definedName name="HOTVSNA_TARIFF_C_HOTVSNA_ADD_HL_DIAMETERS_COLUMN_MARKER">'ГВС. Т-подкл'!$AK$38</definedName>
    <definedName name="HOTVSNA_TARIFF_C_HOTVSNA_ADD_HL_LEN_COLUMN_MARKER">'ГВС. Т-подкл'!$AO$38</definedName>
    <definedName name="HOTVSNA_TARIFF_C_HOTVSNA_ADD_HL_LOAD_COLUMN_MARKER">'ГВС. Т-подкл'!$AG$38</definedName>
    <definedName name="HOTVSNA_TARIFF_C_HOTVSNA_ADD_HL_NETS_COLUMN_MARKER">'ГВС. Т-подкл'!$AS$38</definedName>
    <definedName name="HOTVSNA_TARIFF_C_HOTVSNA_DEL_HL_DATA_DIFF_COLUMN_MARKER">'ГВС. Т-подкл'!$R$38</definedName>
    <definedName name="HOTVSNA_TARIFF_C_HOTVSNA_DEL_HL_DIAMETERS_COLUMN_MARKER">'ГВС. Т-подкл'!$AI$38</definedName>
    <definedName name="HOTVSNA_TARIFF_C_HOTVSNA_DEL_HL_FLAG_DIFF_COLUMN_MARKER">'ГВС. Т-подкл'!$P$38</definedName>
    <definedName name="HOTVSNA_TARIFF_C_HOTVSNA_DEL_HL_GC_COLUMN_MARKER">'ГВС. Т-подкл'!$Q$38</definedName>
    <definedName name="HOTVSNA_TARIFF_C_HOTVSNA_DEL_HL_LEN_COLUMN_MARKER">'ГВС. Т-подкл'!$AM$38</definedName>
    <definedName name="HOTVSNA_TARIFF_C_HOTVSNA_DEL_HL_LOAD_COLUMN_MARKER">'ГВС. Т-подкл'!$AE$38</definedName>
    <definedName name="HOTVSNA_TARIFF_C_HOTVSNA_DEL_HL_NETS_COLUMN_MARKER">'ГВС. Т-подкл'!$AQ$38</definedName>
    <definedName name="HOTVSNA_TARIFF_C_HOTVSNA_DELETE_PERIOD_ROW_MARKER">'ГВС. Т-подкл'!$O$39</definedName>
    <definedName name="HOTVSNA_TARIFF_C_HOTVSNA_FLAG_BLOCK_COLUMN_MARKER">'ГВС. Т-подкл'!$L$44</definedName>
    <definedName name="HOTVSNA_TARIFF_C_HOTVSNA_FLAG_BLOCK_ROW_MARKER">'ГВС. Т-подкл'!$O$24</definedName>
    <definedName name="HOTVSNA_TARIFF_C_HOTVSNA_NUM_CS_COLUMN_MARKER">'ГВС. Т-подкл'!$G$44</definedName>
    <definedName name="HOTVSNA_TARIFF_C_HOTVSNA_NUM_DATA_DIFF_COLUMN_MARKER">'ГВС. Т-подкл'!$K$44</definedName>
    <definedName name="HOTVSNA_TARIFF_C_HOTVSNA_NUM_DIAMETERS_COLUMN_MARKER">'ГВС. Т-подкл'!$AJ$38</definedName>
    <definedName name="HOTVSNA_TARIFF_C_HOTVSNA_NUM_FLAG_DIFF_COLUMN_MARKER">'ГВС. Т-подкл'!$I$44</definedName>
    <definedName name="HOTVSNA_TARIFF_C_HOTVSNA_NUM_GC_COLUMN_MARKER">'ГВС. Т-подкл'!$J$44</definedName>
    <definedName name="HOTVSNA_TARIFF_C_HOTVSNA_NUM_LEN_COLUMN_MARKER">'ГВС. Т-подкл'!$AN$38</definedName>
    <definedName name="HOTVSNA_TARIFF_C_HOTVSNA_NUM_LOAD_COLUMN_MARKER">'ГВС. Т-подкл'!$AF$38</definedName>
    <definedName name="HOTVSNA_TARIFF_C_HOTVSNA_NUM_NETS_COLUMN_MARKER">'ГВС. Т-подкл'!$AR$38</definedName>
    <definedName name="HOTVSNA_TARIFF_C_HOTVSNA_NUM_NTAR_COLUMN_MARKER">'ГВС. Т-подкл'!$E$44</definedName>
    <definedName name="HOTVSNA_TARIFF_C_HOTVSNA_NUM_TER_COLUMN_MARKER">'ГВС. Т-подкл'!$F$44</definedName>
    <definedName name="Info_Diff">modInfo!$B$28</definedName>
    <definedName name="Info_Diff1">modInfo!$B$30</definedName>
    <definedName name="Info_FilFlag">modInfo!$B$1</definedName>
    <definedName name="Info_ForMOInListMO">modInfo!$B$18</definedName>
    <definedName name="Info_ForMRInListMO">modInfo!$B$17</definedName>
    <definedName name="Info_ForSKIInListMO">modInfo!$B$19</definedName>
    <definedName name="Info_ForSKINumberInListMO">modInfo!$B$20</definedName>
    <definedName name="Info_NoteStandarts">modInfo!$B$22</definedName>
    <definedName name="Info_NoUpdates">modInfo!$B$36</definedName>
    <definedName name="Info_PeriodInTitle">modInfo!$B$4</definedName>
    <definedName name="Info_PrDiff">modInfo!$B$29</definedName>
    <definedName name="Info_PublicationNotDisclosed">modInfo!$B$15</definedName>
    <definedName name="Info_PublicationPdf">modInfo!$B$14</definedName>
    <definedName name="Info_PublicationWeb">modInfo!$B$13</definedName>
    <definedName name="Info_T_Podkl">modInfo!$B$24</definedName>
    <definedName name="Info_TarName">modInfo!$B$27</definedName>
    <definedName name="Info_TerExcludeHelp_1">modInfo!$B$33</definedName>
    <definedName name="Info_TerExcludeHelp_2">modInfo!$B$34</definedName>
    <definedName name="Info_TitleFil">modInfo!$B$11</definedName>
    <definedName name="Info_TitleFlagCrossSubsidization">modInfo!$B$8</definedName>
    <definedName name="Info_TitleFlagIstPubl">modInfo!$B$9</definedName>
    <definedName name="Info_TitleFlagTwoPartTariff">modInfo!$B$7</definedName>
    <definedName name="Info_TitleGroupRates">modInfo!$B$5</definedName>
    <definedName name="Info_TitleKindPublication">modInfo!$B$3</definedName>
    <definedName name="Info_TitleKindsOfGoods">modInfo!$B$6</definedName>
    <definedName name="Info_TitlePublication">modInfo!$B$2</definedName>
    <definedName name="Info_TitleType">modInfo!$B$10</definedName>
    <definedName name="inn">Титульный!$F$33</definedName>
    <definedName name="IP_CLAIM_LIST">TEHSHEET!$AZ$20:$AZ$26</definedName>
    <definedName name="IP_DETAILED_ADD_HL_EVENT_COLUMN_MARKER">'ИП. Детализация'!$I$7</definedName>
    <definedName name="IP_DETAILED_ADD_HL_IST_FIN_COLUMN_MARKER">'ИП. Детализация'!$AB$7</definedName>
    <definedName name="IP_DETAILED_ADD_HL_OBJECT_COLUMN_MARKER">'ИП. Детализация'!$P$7</definedName>
    <definedName name="IP_DETAILED_DATA_KS">'ИП. Детализация'!$M$7</definedName>
    <definedName name="IP_DETAILED_EVENT_MARKER">'ИП. Детализация'!$K$7:$Y$7</definedName>
    <definedName name="IP_DETAILED_EVENT_SUBGROUP_COLUMN_MARKER">'ИП. Детализация'!$J$7</definedName>
    <definedName name="IP_DETAILED_EVENT_SUBGROUP_RANGE_COLUMN_MARKER">'ИП. Детализация'!$B$7</definedName>
    <definedName name="IP_DETAILED_FLAG_KS">'ИП. Детализация'!$L$7</definedName>
    <definedName name="IP_DETAILED_FLAG_OBJECT">'ИП. Детализация'!$P$13</definedName>
    <definedName name="IP_DETAILED_GROUP_MARKER">'ИП. Детализация'!$I$7:$J$7</definedName>
    <definedName name="IP_DETAILED_IST_FIN_FACT_COLUMN_MARKER">'ИП. Детализация'!$AD$7</definedName>
    <definedName name="IP_DETAILED_LIST_IP_ID">'ИП. Детализация'!$A$14:$A$14</definedName>
    <definedName name="IP_DETAILED_MONTH_FACT_COLUMN_MARKER">'ИП. Детализация'!$AJ$7</definedName>
    <definedName name="IP_DETAILED_MONTH_PLAN_COLUMN_MARKER">'ИП. Детализация'!$AG$7</definedName>
    <definedName name="IP_DETAILED_NAME_EVENT_COLUMN_MARKER">'ИП. Детализация'!$K$7</definedName>
    <definedName name="IP_DETAILED_YEAR_FACT_COLUMN_MARKER">'ИП. Детализация'!$AK$7</definedName>
    <definedName name="IP_DETAILED_YEAR_PLAN_COLUMN_MARKER">'ИП. Детализация'!$AH$7</definedName>
    <definedName name="IP_FIN_PLAN_LIST_ID_MARKER_ROW">'ИП. Финансовый план'!$E$8</definedName>
    <definedName name="IP_FIN_PLAN_NAME_IP_MARKER_ROW">'ИП. Финансовый план'!$E$11</definedName>
    <definedName name="IP_FIN_PLAN_YEAR_MARKER_ROW">'ИП. Финансовый план'!$E$12</definedName>
    <definedName name="IP_ID">TEHSHEET!$E$58</definedName>
    <definedName name="IP_MAIN_ADD_HL_PROPERTY_COLUMN_MARKER">ИП!$AB$7</definedName>
    <definedName name="IP_MAIN_APPROVAL_DATE">ИП!$I$11:$I$13</definedName>
    <definedName name="IP_MAIN_CHANGE_DATE">ИП!$J$11:$J$13</definedName>
    <definedName name="IP_MAIN_CLAIM">ИП!$K$11:$K$13</definedName>
    <definedName name="IP_MAIN_DATE_PARKING">ИП!$L$5</definedName>
    <definedName name="IP_MAIN_DELETE_HL_COLUMN_MARKER">ИП!$E$7</definedName>
    <definedName name="IP_MAIN_DIFFERENTIATION_EVENTS_FLAG">ИП!$H$11:$H$13</definedName>
    <definedName name="IP_MAIN_END_DATE">ИП!$O$11:$O$13</definedName>
    <definedName name="IP_MAIN_FLAG_KS">ИП!$Y$11:$Y$13</definedName>
    <definedName name="IP_MAIN_FLAG_KS_COLUMN_MARKER">ИП!$Y$7</definedName>
    <definedName name="IP_MAIN_IP_FIN_PLAN_VISIBLE_FLAG">ИП!$H$15</definedName>
    <definedName name="IP_MAIN_LIST_IP_ID">ИП!$AD$11:$AD$13</definedName>
    <definedName name="IP_MAIN_LIST_NAME_IP">ИП!$G$11:$G$13</definedName>
    <definedName name="IP_MAIN_PERIOD_REALIZ_DATE">ИП!$P$11:$P$13</definedName>
    <definedName name="IP_MAIN_PR_IP_CHANGE_DATE">ИП!$X$11:$X$13</definedName>
    <definedName name="IP_MAIN_PR_IP_DATE">ИП!$T$11:$T$13</definedName>
    <definedName name="IP_MAIN_START_DATE">ИП!$N$11:$N$13</definedName>
    <definedName name="IP_QRE_ADD_HL_CLAIM_COLUMN_MARKER">'ИП. КНЭ'!$G$7</definedName>
    <definedName name="IP_QRE_ADD_HL_COLUMN_MARKER">'ИП. КНЭ'!$G$8</definedName>
    <definedName name="IP_QRE_DELETE_HL_COLUMN_MARKER">'ИП. КНЭ'!$E$8</definedName>
    <definedName name="IP_QRE_LIST_IP_ID">'ИП. КНЭ'!$A$18:$A$20</definedName>
    <definedName name="IP_QRE_NUM_COLUMN_MARKER">'ИП. КНЭ'!$F$8</definedName>
    <definedName name="IP_QRE_OTKO_FEATURES_BLOCK">'ИП. КНЭ'!$DY$8</definedName>
    <definedName name="IP_QRE_VOTV_FEATURES_BLOCK">'ИП. КНЭ'!$CY$8:$DX$8</definedName>
    <definedName name="IP_QRE_VSNA_FEATURES_BLOCK">'ИП. КНЭ'!$BT$8:$CX$8</definedName>
    <definedName name="IP_QRE_WARM_FEATURES_BLOCK">'ИП. КНЭ'!$O$8:$BS$8</definedName>
    <definedName name="IST_TE_ID">TEHSHEET!$E$64</definedName>
    <definedName name="kind_group_rates">TEHSHEET!$X$2:$X$14</definedName>
    <definedName name="kind_group_rates_load">TEHSHEET!$AP$2:$AP$11</definedName>
    <definedName name="kind_group_rates_load_ETS">TEHSHEET!$AP$2:$AP$11</definedName>
    <definedName name="kind_group_rates_load_filter">TEHSHEET!$AQ$2:$AQ$11</definedName>
    <definedName name="kind_group_rates_load_filter_ETS">TEHSHEET!$AQ$2:$AQ$11</definedName>
    <definedName name="kind_of_activity_WARM">TEHSHEET!$N$2:$N$8</definedName>
    <definedName name="kind_of_cons">TEHSHEET!$R$2:$R$6</definedName>
    <definedName name="kind_of_control_method">TEHSHEET!$K$2:$K$5</definedName>
    <definedName name="kind_of_control_method_filter">TEHSHEET!$L$2:$L$5</definedName>
    <definedName name="kind_of_data_type">TEHSHEET!$P$2:$P$3</definedName>
    <definedName name="kind_of_diameters">TEHSHEET!$T$2:$T$6</definedName>
    <definedName name="kind_of_diameters2">TEHSHEET!$AU$2:$AU$8</definedName>
    <definedName name="kind_of_diff">TEHSHEET!$AS$2:$AS$4</definedName>
    <definedName name="kind_of_fuel">TEHSHEET!$AK$2:$AK$9</definedName>
    <definedName name="kind_of_fuels">TEHSHEET!$BB$2:$BB$29</definedName>
    <definedName name="kind_of_heat_transfer">TEHSHEET!$O$2:$O$12</definedName>
    <definedName name="kind_of_heat_transfer2">TEHSHEET!$AH$2:$AH$7</definedName>
    <definedName name="kind_of_heat_transfer3">TEHSHEET!$AI$2:$AI$3</definedName>
    <definedName name="kind_of_load">TEHSHEET!$U$2:$U$7</definedName>
    <definedName name="kind_of_load2">TEHSHEET!$U$2:$U$4</definedName>
    <definedName name="kind_of_load3">TEHSHEET!$AF$2:$AF$5</definedName>
    <definedName name="kind_of_load4">TEHSHEET!$U$2:$U$5</definedName>
    <definedName name="kind_of_NDS">TEHSHEET!$H$2:$H$7</definedName>
    <definedName name="kind_of_NDS_tariff">TEHSHEET!$H$10:$H$11</definedName>
    <definedName name="kind_of_NDS_tariff_people">TEHSHEET!$H$16:$H$17</definedName>
    <definedName name="kind_of_nets">TEHSHEET!$S$2:$S$4</definedName>
    <definedName name="kind_of_org_type">TEHSHEET!$AZ$2:$AZ$5</definedName>
    <definedName name="kind_of_power_te_unit">TEHSHEET!$J$11:$J$12</definedName>
    <definedName name="kind_of_publication">TEHSHEET!$G$2:$G$3</definedName>
    <definedName name="kind_of_purchase_method">TEHSHEET!$K$11:$K$13</definedName>
    <definedName name="kind_of_scheme_in">TEHSHEET!$Q$2:$Q$5</definedName>
    <definedName name="kind_of_scheme_in2">TEHSHEET!$Q$3:$Q$5</definedName>
    <definedName name="kind_of_tariff_unit">TEHSHEET!$J$7:$J$8</definedName>
    <definedName name="kind_of_unit">TEHSHEET!$J$2:$J$4</definedName>
    <definedName name="kind_of_volume_te_unit">TEHSHEET!$J$15:$J$16</definedName>
    <definedName name="kind_of_zak">TEHSHEET!$AM$2:$AM$7</definedName>
    <definedName name="KNE_NAME_FORM">DATA_FORMS!$C$8</definedName>
    <definedName name="kpp">Титульный!$F$34</definedName>
    <definedName name="LINK_RANGE">REESTR_LINK!$B$2:$B$3</definedName>
    <definedName name="List_H">TEHSHEET!$AW$2:$AW$25</definedName>
    <definedName name="List_M">TEHSHEET!$AX$2:$AX$61</definedName>
    <definedName name="LIST_MR_MO_OKTMO">REESTR_MO!$A$2:$D$709</definedName>
    <definedName name="LIST_MR_MO_OKTMO_FILTER">REESTR_MO_FILTER!$A$2:$D$708</definedName>
    <definedName name="ListForms">modSheetMain!$A:$A</definedName>
    <definedName name="logical">TEHSHEET!$D$2:$D$3</definedName>
    <definedName name="MONTH">TEHSHEET!$E$2:$E$13</definedName>
    <definedName name="MONTH_IP_LIST">TEHSHEET!$BF$2:$BF$13</definedName>
    <definedName name="nalog">Титульный!$F$37</definedName>
    <definedName name="name_rates_4">TEHSHEET!$AA$2:$AA$3</definedName>
    <definedName name="name_rates_4_filter">TEHSHEET!$AB$2:$AB$3</definedName>
    <definedName name="name_rates_8">TEHSHEET!$AC$2:$AC$4</definedName>
    <definedName name="name_rates_8_filter">TEHSHEET!$AD$2:$AD$4</definedName>
    <definedName name="NameTemplatesInListMO">TEHSHEET!$K$45</definedName>
    <definedName name="NameTemplatesInTitle">TEHSHEET!$J$45</definedName>
    <definedName name="NameTemplatesInTitleList">TEHSHEET!$J$46:$J$53</definedName>
    <definedName name="NTAR_ID">TEHSHEET!$E$61</definedName>
    <definedName name="OFFER_TARIFF_A_1">Предложение!$18:$19</definedName>
    <definedName name="OFFER_TARIFF_A_2">Предложение!$59:$60</definedName>
    <definedName name="OFFER_TARIFF_A_3">Предложение!$98:$99</definedName>
    <definedName name="OFFER_TARIFF_A_4">Предложение!$137:$138</definedName>
    <definedName name="OFFER_TARIFF_A_5">Предложение!$176:$177</definedName>
    <definedName name="OFFER_TARIFF_A_COLDVSNA_1">Предложение!$34:$35</definedName>
    <definedName name="OFFER_TARIFF_A_COLDVSNA_2">Предложение!$75:$76</definedName>
    <definedName name="OFFER_TARIFF_A_COLDVSNA_3">Предложение!$114:$115</definedName>
    <definedName name="OFFER_TARIFF_A_COLDVSNA_4">Предложение!$153:$154</definedName>
    <definedName name="OFFER_TARIFF_A_COLDVSNA_5">Предложение!$192:$193</definedName>
    <definedName name="OFFER_TARIFF_A_HOTVSNA_1">Предложение!$44:$45</definedName>
    <definedName name="OFFER_TARIFF_A_HOTVSNA_2">Предложение!$85:$86</definedName>
    <definedName name="OFFER_TARIFF_A_HOTVSNA_3">Предложение!$124:$125</definedName>
    <definedName name="OFFER_TARIFF_A_HOTVSNA_4">Предложение!$163:$164</definedName>
    <definedName name="OFFER_TARIFF_A_HOTVSNA_5">Предложение!$202:$203</definedName>
    <definedName name="OFFER_TARIFF_A_VOTV_1">Предложение!$50:$51</definedName>
    <definedName name="OFFER_TARIFF_A_VOTV_2">Предложение!$91:$92</definedName>
    <definedName name="OFFER_TARIFF_A_VOTV_3">Предложение!$130:$131</definedName>
    <definedName name="OFFER_TARIFF_A_VOTV_4">Предложение!$169:$170</definedName>
    <definedName name="OFFER_TARIFF_A_VOTV_5">Предложение!$208:$209</definedName>
    <definedName name="OFFER_TARIFF_B_1">Предложение!$20:$21</definedName>
    <definedName name="OFFER_TARIFF_B_2">Предложение!$61:$62</definedName>
    <definedName name="OFFER_TARIFF_B_3">Предложение!$100:$101</definedName>
    <definedName name="OFFER_TARIFF_B_4">Предложение!$139:$140</definedName>
    <definedName name="OFFER_TARIFF_B_5">Предложение!$178:$179</definedName>
    <definedName name="OFFER_TARIFF_B_COLDVSNA_1">Предложение!$36:$37</definedName>
    <definedName name="OFFER_TARIFF_B_COLDVSNA_2">Предложение!$77:$78</definedName>
    <definedName name="OFFER_TARIFF_B_COLDVSNA_3">Предложение!$116:$117</definedName>
    <definedName name="OFFER_TARIFF_B_COLDVSNA_4">Предложение!$155:$156</definedName>
    <definedName name="OFFER_TARIFF_B_COLDVSNA_5">Предложение!$194:$195</definedName>
    <definedName name="OFFER_TARIFF_B_HOTVSNA_1">Предложение!$46:$47</definedName>
    <definedName name="OFFER_TARIFF_B_HOTVSNA_2">Предложение!$87:$88</definedName>
    <definedName name="OFFER_TARIFF_B_HOTVSNA_3">Предложение!$126:$127</definedName>
    <definedName name="OFFER_TARIFF_B_HOTVSNA_4">Предложение!$165:$166</definedName>
    <definedName name="OFFER_TARIFF_B_HOTVSNA_5">Предложение!$204:$205</definedName>
    <definedName name="OFFER_TARIFF_B_VOTV_1">Предложение!$52:$53</definedName>
    <definedName name="OFFER_TARIFF_B_VOTV_2">Предложение!$93:$94</definedName>
    <definedName name="OFFER_TARIFF_B_VOTV_3">Предложение!$132:$133</definedName>
    <definedName name="OFFER_TARIFF_B_VOTV_4">Предложение!$171:$172</definedName>
    <definedName name="OFFER_TARIFF_B_VOTV_5">Предложение!$210:$211</definedName>
    <definedName name="OFFER_TARIFF_C_1">Предложение!$22:$23</definedName>
    <definedName name="OFFER_TARIFF_C_2">Предложение!$63:$64</definedName>
    <definedName name="OFFER_TARIFF_C_3">Предложение!$102:$103</definedName>
    <definedName name="OFFER_TARIFF_C_4">Предложение!$141:$142</definedName>
    <definedName name="OFFER_TARIFF_C_5">Предложение!$180:$181</definedName>
    <definedName name="OFFER_TARIFF_C_COLDVSNA_1">Предложение!$38:$39</definedName>
    <definedName name="OFFER_TARIFF_C_COLDVSNA_2">Предложение!$79:$80</definedName>
    <definedName name="OFFER_TARIFF_C_COLDVSNA_3">Предложение!$118:$119</definedName>
    <definedName name="OFFER_TARIFF_C_COLDVSNA_4">Предложение!$157:$158</definedName>
    <definedName name="OFFER_TARIFF_C_COLDVSNA_5">Предложение!$196:$197</definedName>
    <definedName name="OFFER_TARIFF_C_HOTVSNA_1">Предложение!$48:$49</definedName>
    <definedName name="OFFER_TARIFF_C_HOTVSNA_2">Предложение!$89:$90</definedName>
    <definedName name="OFFER_TARIFF_C_HOTVSNA_3">Предложение!$128:$129</definedName>
    <definedName name="OFFER_TARIFF_C_HOTVSNA_4">Предложение!$167:$168</definedName>
    <definedName name="OFFER_TARIFF_C_HOTVSNA_5">Предложение!$206:$207</definedName>
    <definedName name="OFFER_TARIFF_C_VOTV_1">Предложение!$54:$55</definedName>
    <definedName name="OFFER_TARIFF_C_VOTV_2">Предложение!$95:$96</definedName>
    <definedName name="OFFER_TARIFF_C_VOTV_3">Предложение!$134:$135</definedName>
    <definedName name="OFFER_TARIFF_C_VOTV_4">Предложение!$173:$174</definedName>
    <definedName name="OFFER_TARIFF_C_VOTV_5">Предложение!$212:$213</definedName>
    <definedName name="OFFER_TARIFF_D_1">Предложение!$24:$25</definedName>
    <definedName name="OFFER_TARIFF_D_2">Предложение!$65:$66</definedName>
    <definedName name="OFFER_TARIFF_D_3">Предложение!$104:$105</definedName>
    <definedName name="OFFER_TARIFF_D_4">Предложение!$143:$144</definedName>
    <definedName name="OFFER_TARIFF_D_5">Предложение!$182:$183</definedName>
    <definedName name="OFFER_TARIFF_D_COLDVSNA_1">Предложение!$40:$41</definedName>
    <definedName name="OFFER_TARIFF_D_COLDVSNA_2">Предложение!$81:$82</definedName>
    <definedName name="OFFER_TARIFF_D_COLDVSNA_3">Предложение!$120:$121</definedName>
    <definedName name="OFFER_TARIFF_D_COLDVSNA_4">Предложение!$159:$160</definedName>
    <definedName name="OFFER_TARIFF_D_COLDVSNA_5">Предложение!$198:$199</definedName>
    <definedName name="OFFER_TARIFF_E_COLDVSNA_1">Предложение!$42:$43</definedName>
    <definedName name="OFFER_TARIFF_E_COLDVSNA_2">Предложение!$83:$84</definedName>
    <definedName name="OFFER_TARIFF_E_COLDVSNA_3">Предложение!$122:$123</definedName>
    <definedName name="OFFER_TARIFF_E_COLDVSNA_4">Предложение!$161:$162</definedName>
    <definedName name="OFFER_TARIFF_E_COLDVSNA_5">Предложение!$200:$201</definedName>
    <definedName name="OFFER_TARIFF_E1_1">Предложение!$26:$27</definedName>
    <definedName name="OFFER_TARIFF_E1_2">Предложение!$67:$68</definedName>
    <definedName name="OFFER_TARIFF_E1_3">Предложение!$106:$107</definedName>
    <definedName name="OFFER_TARIFF_E1_4">Предложение!$145:$146</definedName>
    <definedName name="OFFER_TARIFF_E1_5">Предложение!$184:$185</definedName>
    <definedName name="OFFER_TARIFF_E2_1">Предложение!$28:$29</definedName>
    <definedName name="OFFER_TARIFF_E2_2">Предложение!$69:$70</definedName>
    <definedName name="OFFER_TARIFF_E2_3">Предложение!$108:$109</definedName>
    <definedName name="OFFER_TARIFF_E2_4">Предложение!$147:$148</definedName>
    <definedName name="OFFER_TARIFF_E2_5">Предложение!$186:$187</definedName>
    <definedName name="OFFER_TARIFF_F_1">Предложение!$30:$31</definedName>
    <definedName name="OFFER_TARIFF_F_2">Предложение!$71:$72</definedName>
    <definedName name="OFFER_TARIFF_F_3">Предложение!$110:$111</definedName>
    <definedName name="OFFER_TARIFF_F_4">Предложение!$149:$150</definedName>
    <definedName name="OFFER_TARIFF_F_5">Предложение!$188:$189</definedName>
    <definedName name="OFFER_TARIFF_G_1">Предложение!$32:$33</definedName>
    <definedName name="OFFER_TARIFF_G_2">Предложение!$73:$74</definedName>
    <definedName name="OFFER_TARIFF_G_3">Предложение!$112:$113</definedName>
    <definedName name="OFFER_TARIFF_G_4">Предложение!$151:$152</definedName>
    <definedName name="OFFER_TARIFF_G_5">Предложение!$190:$191</definedName>
    <definedName name="org">Титульный!$F$31</definedName>
    <definedName name="Org_Address">Титульный!$F$64:$F$64</definedName>
    <definedName name="ORG_END_DATE">TEHSHEET!$F$29</definedName>
    <definedName name="ORG_INFO_DATE_OGRN">'Общая информация об организации'!$F$17</definedName>
    <definedName name="ORG_INFO_DATE_PARKING">'Общая информация об организации'!$G$4</definedName>
    <definedName name="ORG_INFO_DATE_UNI_TS">'Общая информация об организации'!$F$21</definedName>
    <definedName name="ORG_INFO_EMAIL">'Общая информация об организации'!$F$43</definedName>
    <definedName name="ORG_INFO_ET">'Общая информация об организации'!$F$20:$F$23</definedName>
    <definedName name="ORG_INFO_FLAG_INVEST">'Общая информация об организации'!$F$50</definedName>
    <definedName name="ORG_INFO_NAME_FORM">DATA_FORMS!$C$4</definedName>
    <definedName name="ORG_INFO_P_NOTE_MAIN">DATA_NPA!$N$3</definedName>
    <definedName name="ORG_INFO_RESP_EMAIL">'Общая информация об организации'!$F$31</definedName>
    <definedName name="ORG_INFO_URL">'Общая информация об организации'!$F$42</definedName>
    <definedName name="Org_main">Титульный!$F$65</definedName>
    <definedName name="ORG_START_DATE">TEHSHEET!$E$29</definedName>
    <definedName name="ORG_TERRITORY_FIRST_MO">'Сведения по территориям'!$G$12</definedName>
    <definedName name="ORG_TERRITORY_FLAG_INTERNET">'Сведения по территориям'!$J$11:$J$13</definedName>
    <definedName name="ORG_TERRITORY_LINK">'Сведения по территориям'!$K$11:$K$13</definedName>
    <definedName name="ORG_TERRITORY_NAME_COL">'Сведения по территориям'!$G$1:$I$1</definedName>
    <definedName name="ORG_TERRITORY_POINT_NUMBER_1">'Сведения по территориям'!$A:$A</definedName>
    <definedName name="ORG_VD_EM">'Общая информация по ВД'!$K$11:$K$13</definedName>
    <definedName name="ORG_VD_FIRST_ROW">'Общая информация по ВД'!$12:$12</definedName>
    <definedName name="ORG_VD_FIRST_SYSTEM">'Общая информация по ВД'!$E$12</definedName>
    <definedName name="ORG_VD_SYSTEM">'Общая информация по ВД'!$E$11:$E$13</definedName>
    <definedName name="ORG_VD_TKO_ADD_HL_ACTIVITY_COLUMN_MARKER">'Виды объектов'!$E$9</definedName>
    <definedName name="ORG_VD_TKO_ADD_HL_TYPE_OBJECT_COLUMN_MARKER">'Виды объектов'!$H$9</definedName>
    <definedName name="ORG_VD_TKO_DEL_HL_ACTIVITY_COLUMN_MARKER">'Виды объектов'!$C$9</definedName>
    <definedName name="ORG_VD_TKO_DEL_HL_TYPE_OBJECT_COLUMN_MARKER">'Виды объектов'!$F$9</definedName>
    <definedName name="ORG_VD_TKO_VD">'Виды объектов'!$E$13:$E$16</definedName>
    <definedName name="ORG_VD_TKO_VD_ID">'Виды объектов'!$O$13:$O$16</definedName>
    <definedName name="ORG_VD_VD">'Общая информация по ВД'!$F$11:$F$13</definedName>
    <definedName name="ORG_VD_VD_ID">'Общая информация по ВД'!$AM$11:$AM$13</definedName>
    <definedName name="OTKO_FIN_SRC_LIST">TEHSHEET!$BN$4:$BN$18</definedName>
    <definedName name="OTKO_FIN_SRC_VLD_LIST">TEHSHEET!$BN$39:$BN$48</definedName>
    <definedName name="OTKO_IP_EVENT_CI_STAGE_LIST">TEHSHEET!$BN$97:$BN$104</definedName>
    <definedName name="OTKO_IP_EVENT_GROUP_LIST">TEHSHEET!$BN$69:$BN$74</definedName>
    <definedName name="OTKO_IP_EVENT_TYPE_LIST">TEHSHEET!$BN$108</definedName>
    <definedName name="otv_lico_name">Титульный!$F$67:$F$70</definedName>
    <definedName name="P_T_TERMS_LINK">Договоры!$F$12:$F$22</definedName>
    <definedName name="pCng_P_T_TERMS_1">Договоры!$E$14:$E$15</definedName>
    <definedName name="pCng_P_T_TERMS_2">Договоры!$E$17:$E$18</definedName>
    <definedName name="pCng_P_T_TERMS_3">Договоры!$E$21:$E$22</definedName>
    <definedName name="pCng_P_T_TERMS_4">Договоры!$E$25:$E$26</definedName>
    <definedName name="pDel_CHANGE_INFO">'Сведения об изменении'!$C$12:$C$13</definedName>
    <definedName name="pDel_Comm">Комментарии!$C$11:$C$12</definedName>
    <definedName name="pDel_DIFFERENTIATION_AREA">Дифференциация!$G$12:$G$17</definedName>
    <definedName name="pDel_DIFFERENTIATION_SYSTEM">Дифференциация!$K$12:$K$17</definedName>
    <definedName name="pDel_DIFFERENTIATION_VD">Дифференциация!$C$12:$C$17</definedName>
    <definedName name="pDel_ED">ЭД!$C$12:$C$13</definedName>
    <definedName name="pDel_IP_DETAILED_EVENT">'ИП. Детализация'!$G$13</definedName>
    <definedName name="pDel_IP_DETAILED_IST_FIN">'ИП. Детализация'!$Z$13</definedName>
    <definedName name="pDel_IP_DETAILED_OBJECT">'ИП. Детализация'!$N$13</definedName>
    <definedName name="pDel_IP_MAIN">ИП!$E$11:$E$13</definedName>
    <definedName name="pDel_IP_MAIN_PROPERTY">ИП!$Z$11:$Z$13</definedName>
    <definedName name="pDel_IP_QRE_CLAIM">'ИП. КНЭ'!$E$18:$E$20</definedName>
    <definedName name="pDel_List07">'Сведения об изменении'!$C$11:$C$13</definedName>
    <definedName name="pDel_LT_AREA">'Список территорий'!$C$12:$C$15</definedName>
    <definedName name="pDel_LT_MO">'Список территорий'!$D$11:$D$15</definedName>
    <definedName name="pDel_ORG_INFO">'Общая информация об организации'!$C$39:$C$49</definedName>
    <definedName name="pDel_ORG_TERRITORY">'Сведения по территориям'!$D$11:$D$13</definedName>
    <definedName name="pDel_ORG_VD">'Общая информация по ВД'!$C$11:$C$13</definedName>
    <definedName name="pDel_P_PROCEDURE_TC">'Порядок ТП'!$C$26:$C$40</definedName>
    <definedName name="pDel_P_T_TERMS">Договоры!$C$14:$C$26</definedName>
    <definedName name="pDel_R_B_Purch">'Сведения о закупках'!$C$13:$C$14</definedName>
    <definedName name="periodEnd">Титульный!$F$12</definedName>
    <definedName name="PeriodIsEmpty">TEHSHEET!$I$45</definedName>
    <definedName name="PeriodIsEmptyList">TEHSHEET!$I$46:$I$53</definedName>
    <definedName name="periodStart">Титульный!$F$11</definedName>
    <definedName name="pHeader_B_FHD">'Показатели ФХД'!$29:$29</definedName>
    <definedName name="pHeader_B_FHD_TKO">'ТКО. Показатели ФХД'!$14:$14</definedName>
    <definedName name="pHeader_B_FHD_TKO_TRANS">'ТКО. Транс. Показатели ФХД'!$14:$14</definedName>
    <definedName name="pHeader_B_KNE">'Показатели КНЭ'!$11:$11</definedName>
    <definedName name="pHeader_Q_LIMIT">Ограничения!$30:$30</definedName>
    <definedName name="pHeader_Q_PH">'Потребительские характеристики'!$13:$13</definedName>
    <definedName name="pHeader_Q_TP">ТП!$13:$13</definedName>
    <definedName name="pHeader_ver_B_FHD">'Показатели ФХД'!$C:$C</definedName>
    <definedName name="pHeader_ver_B_FHD_TKO">'ТКО. Показатели ФХД'!$C:$C</definedName>
    <definedName name="pHeader_ver_B_FHD_TKO_TRANS">'ТКО. Транс. Показатели ФХД'!$C:$C</definedName>
    <definedName name="pHeader_ver_B_KNE">'Показатели КНЭ'!$B:$B</definedName>
    <definedName name="pHeader_ver_P_PROCEDURE_TC">'Порядок ТП'!$A$21:$A$40</definedName>
    <definedName name="pHeader_ver_Q_LIMIT">Ограничения!$E:$E</definedName>
    <definedName name="pIns_B_FHD_1">'Показатели ФХД'!$F$40</definedName>
    <definedName name="pIns_B_FHD_2">'Показатели ФХД'!$F$71</definedName>
    <definedName name="pIns_B_FHD_3">'Показатели ФХД'!$F$101</definedName>
    <definedName name="pIns_B_FHD_4">'Показатели ФХД'!$F$119</definedName>
    <definedName name="pIns_B_FHD_5">'Показатели ФХД'!$F$122</definedName>
    <definedName name="pIns_B_FHD_6">'Показатели ФХД'!$F$125</definedName>
    <definedName name="pIns_B_FHD_DIFFERENTIATION">'Показатели ФХД'!$K$24</definedName>
    <definedName name="pIns_B_FHD_TKO_2">'ТКО. Показатели ФХД'!$F$34</definedName>
    <definedName name="pIns_B_FHD_TKO_DIFFERENTIATION">'ТКО. Показатели ФХД'!$K$9</definedName>
    <definedName name="pIns_B_FHD_TKO_TRANS_2">'ТКО. Транс. Показатели ФХД'!$F$29</definedName>
    <definedName name="pIns_B_FHD_TKO_TRANS_DIFFERENTIATION">'ТКО. Транс. Показатели ФХД'!$K$9</definedName>
    <definedName name="pIns_B_FHD20_DIFFERENTIATION">'Показатели ФХД &gt;20%'!$D$32</definedName>
    <definedName name="pIns_B_KNE_DIFFERENTIATION">'Показатели КНЭ'!$M$6</definedName>
    <definedName name="pIns_CHANGE_INFO">'Сведения об изменении'!$E$13</definedName>
    <definedName name="pIns_Comm">Комментарии!$E$12</definedName>
    <definedName name="pIns_ED">ЭД!$E$13</definedName>
    <definedName name="pIns_IP_DETAILED">'ИП. Детализация'!$F$14</definedName>
    <definedName name="pIns_IP_FIN_PLAN">'ИП. Финансовый план'!$K$8</definedName>
    <definedName name="pIns_IP_MAIN">ИП!$G$13</definedName>
    <definedName name="pIns_IP_QRE">'ИП. КНЭ'!$F$21</definedName>
    <definedName name="pIns_List07">'Сведения об изменении'!$E$13</definedName>
    <definedName name="pIns_LT_AREA">'Список территорий'!$G$15</definedName>
    <definedName name="pIns_ORG_INFO_1">'Общая информация об организации'!$E$41</definedName>
    <definedName name="pIns_ORG_INFO_2">'Общая информация об организации'!$E$49</definedName>
    <definedName name="pIns_ORG_TERRITORY">'Сведения по территориям'!$G$13</definedName>
    <definedName name="pIns_ORG_VD_1">'Общая информация по ВД'!$E$13</definedName>
    <definedName name="pIns_ORG_VD_2">'Общая информация по ВД'!$F$13</definedName>
    <definedName name="pIns_ORG_VD_TKO_1">'Виды объектов'!$E$16</definedName>
    <definedName name="pIns_P_PROCEDURE_TC_1">'Порядок ТП'!$E$27</definedName>
    <definedName name="pIns_P_PROCEDURE_TC_2">'Порядок ТП'!$E$30</definedName>
    <definedName name="pIns_P_PROCEDURE_TC_3">'Порядок ТП'!$E$34</definedName>
    <definedName name="pIns_P_PROCEDURE_TC_4">'Порядок ТП'!$E$37</definedName>
    <definedName name="pIns_P_PROCEDURE_TC_5">'Порядок ТП'!$E$40</definedName>
    <definedName name="pIns_P_T_TERMS_1">Договоры!$E$15</definedName>
    <definedName name="pIns_P_T_TERMS_2">Договоры!$E$18</definedName>
    <definedName name="pIns_P_T_TERMS_3">Договоры!$E$22</definedName>
    <definedName name="pIns_P_T_TERMS_4">Договоры!$E$26</definedName>
    <definedName name="pIns_PT_VTAR_A">'ТС. Т-ТЭ | &gt;=25МВт'!$T$57</definedName>
    <definedName name="pIns_PT_VTAR_A_COLDVSNA">'ХВС. Т-пит'!$T$53</definedName>
    <definedName name="pIns_PT_VTAR_A_HOTVSNA">'ГВС. Т-гор.вода'!$T$53</definedName>
    <definedName name="pIns_PT_VTAR_A_VOTV">'ВО. Т-во'!$T$53</definedName>
    <definedName name="pIns_PT_VTAR_B">'ТС. Т-ТЭ | ТСО'!$T$57</definedName>
    <definedName name="pIns_PT_VTAR_B_COLDVSNA">'ХВС. Т-тех'!$T$53</definedName>
    <definedName name="pIns_PT_VTAR_B_HOTVSNA">'ГВС. Т-транс'!$T$53</definedName>
    <definedName name="pIns_PT_VTAR_B_VOTV">'ВО. Т-транс'!$T$53</definedName>
    <definedName name="pIns_PT_VTAR_C">'ТС. Т-ТН'!$T$57</definedName>
    <definedName name="pIns_PT_VTAR_C_COLDVSNA">'ХВС. Т-транс'!$T$53</definedName>
    <definedName name="pIns_PT_VTAR_C_HOTVSNA">'ГВС. Т-подкл'!$T$63</definedName>
    <definedName name="pIns_PT_VTAR_C_VOTV">'ВО. Т-подкл'!$T$63</definedName>
    <definedName name="pIns_PT_VTAR_D">'ТС. Т-гор.вода'!$V$65</definedName>
    <definedName name="pIns_PT_VTAR_D_COLDVSNA">'ХВС. Т-подвоз'!$T$53</definedName>
    <definedName name="pIns_PT_VTAR_E_COLDVSNA">'ХВС. Т-подкл'!$T$63</definedName>
    <definedName name="pIns_PT_VTAR_E1">'ТС. Т-передача ТЭ'!$T$57</definedName>
    <definedName name="pIns_PT_VTAR_E2">'ТС. Т-передача ТН'!$T$57</definedName>
    <definedName name="pIns_PT_VTAR_F">'ТС. Резерв мощности'!$T$57</definedName>
    <definedName name="pIns_PT_VTAR_G">'ТС. Т-подкл'!$T$62</definedName>
    <definedName name="pIns_Q_LIMIT_1">Ограничения!$E$33</definedName>
    <definedName name="pIns_Q_LIMIT_2">Ограничения!$E$35</definedName>
    <definedName name="pIns_Q_LIMIT_3">Ограничения!$E$37</definedName>
    <definedName name="pIns_Q_LIMIT_4">Ограничения!$E$39</definedName>
    <definedName name="pIns_Q_LIMIT_DIFFERENTIATION">Ограничения!$M$25</definedName>
    <definedName name="pIns_Q_PH_DIFFERENTIATION">'Потребительские характеристики'!$M$8</definedName>
    <definedName name="pIns_Q_TP_1">ТП!$E$22</definedName>
    <definedName name="pIns_Q_TP_DIFFERENTIATION">ТП!$J$8</definedName>
    <definedName name="pIns_R_B_Purch_1">'Сведения о закупках'!$E$14</definedName>
    <definedName name="pIns_ROIV_CASE_case">'Дела об установлении тарифов'!$F$11</definedName>
    <definedName name="pIns_ROIV_INFO_phone">'Орган регулирования'!$E$21</definedName>
    <definedName name="pIns_ROIV_ORG_org">'Перечень организаций'!$F$10</definedName>
    <definedName name="pIns_ROIV_OTV_org">'Привлечение к ответственности'!$G$13</definedName>
    <definedName name="pIns_ver_COLDVSNA_TARIFF_A_COLDVSNA">'ХВС. Т-пит'!$AJ$37</definedName>
    <definedName name="pIns_ver_COLDVSNA_TARIFF_B_COLDVSNA">'ХВС. Т-тех'!$AJ$37</definedName>
    <definedName name="pIns_ver_COLDVSNA_TARIFF_C_COLDVSNA">'ХВС. Т-транс'!$AJ$37</definedName>
    <definedName name="pIns_ver_COLDVSNA_TARIFF_D_COLDVSNA">'ХВС. Т-подвоз'!$AJ$37</definedName>
    <definedName name="pIns_ver_COLDVSNA_TARIFF_E_COLDVSNA">'ХВС. Т-подкл'!$BB$41</definedName>
    <definedName name="pIns_ver_HEAT_TARIFF_A">'ТС. Т-ТЭ | &gt;=25МВт'!$AL$39</definedName>
    <definedName name="pIns_ver_HEAT_TARIFF_B">'ТС. Т-ТЭ | ТСО'!$AL$39</definedName>
    <definedName name="pIns_ver_HEAT_TARIFF_C">'ТС. Т-ТН'!$AL$39</definedName>
    <definedName name="pIns_ver_HEAT_TARIFF_D">'ТС. Т-гор.вода'!$AP$43</definedName>
    <definedName name="pIns_ver_HEAT_TARIFF_E1">'ТС. Т-передача ТЭ'!$AL$39</definedName>
    <definedName name="pIns_ver_HEAT_TARIFF_E2">'ТС. Т-передача ТН'!$AL$39</definedName>
    <definedName name="pIns_ver_HEAT_TARIFF_F">'ТС. Резерв мощности'!$AL$39</definedName>
    <definedName name="pIns_ver_HEAT_TARIFF_G">'ТС. Т-подкл'!$AT$40</definedName>
    <definedName name="pIns_ver_HOTVSNA_TARIFF_A_HOTVSNA">'ГВС. Т-гор.вода'!$AJ$37</definedName>
    <definedName name="pIns_ver_HOTVSNA_TARIFF_B_HOTVSNA">'ГВС. Т-транс'!$AJ$37</definedName>
    <definedName name="pIns_ver_HOTVSNA_TARIFF_C_HOTVSNA">'ГВС. Т-подкл'!$BB$41</definedName>
    <definedName name="pIns_ver_VOTV_TARIFF_A_VOTV">'ВО. Т-во'!$AJ$37</definedName>
    <definedName name="pIns_ver_VOTV_TARIFF_B_VOTV">'ВО. Т-транс'!$AJ$37</definedName>
    <definedName name="pIns_ver_VOTV_TARIFF_C_VOTV">'ВО. Т-подкл'!$BB$41</definedName>
    <definedName name="pNote_LIMIT">Ограничения!$M$26</definedName>
    <definedName name="pNote_Q_PH">'Потребительские характеристики'!$M$9</definedName>
    <definedName name="PROCEDURE_TC_NAME_FORM">DATA_FORMS!$C$30</definedName>
    <definedName name="PT_ADD_HL_CS_COLUMN_MARKER">'Перечень тарифов'!$R$8</definedName>
    <definedName name="PT_ADD_HL_IST_TE_COLUMN_MARKER">'Перечень тарифов'!$V$8</definedName>
    <definedName name="PT_ADD_HL_NTAR_COLUMN_MARKER">'Перечень тарифов'!$J$8</definedName>
    <definedName name="PT_ADD_HL_TER_COLUMN_MARKER">'Перечень тарифов'!$N$8</definedName>
    <definedName name="PT_ADD_HL_VTAR_COLUMN_MARKER">'Перечень тарифов'!$E$8</definedName>
    <definedName name="pt_cs_1">'ТС. Т-ТЭ | &gt;=25МВт'!$45:$54</definedName>
    <definedName name="pt_cs_10">'ХВС. Т-тех'!$43:$50</definedName>
    <definedName name="pt_cs_11">'ХВС. Т-транс'!$43:$50</definedName>
    <definedName name="pt_cs_12">'ХВС. Т-подвоз'!$43:$50</definedName>
    <definedName name="pt_cs_13">'ХВС. Т-подкл'!$48:$60</definedName>
    <definedName name="pt_cs_14">'ГВС. Т-гор.вода'!$43:$50</definedName>
    <definedName name="pt_cs_15">'ГВС. Т-транс'!$43:$50</definedName>
    <definedName name="pt_cs_16">'ГВС. Т-подкл'!$48:$60</definedName>
    <definedName name="pt_cs_17">'ВО. Т-во'!$43:$50</definedName>
    <definedName name="pt_cs_18">'ВО. Т-транс'!$43:$50</definedName>
    <definedName name="pt_cs_19">'ВО. Т-подкл'!$48:$60</definedName>
    <definedName name="pt_cs_2">'ТС. Т-ТЭ | ТСО'!$45:$54</definedName>
    <definedName name="pt_cs_3">'ТС. Т-ТН'!$45:$54</definedName>
    <definedName name="pt_cs_4">'ТС. Т-гор.вода'!$51:$62</definedName>
    <definedName name="pt_cs_4i">'Т-ТЭ | индикат'!$21:$30</definedName>
    <definedName name="pt_cs_4p">'Т-ТЭ | предел'!$21:$30</definedName>
    <definedName name="pt_cs_5">'ТС. Т-передача ТЭ'!$45:$54</definedName>
    <definedName name="pt_cs_6">'ТС. Т-передача ТН'!$45:$54</definedName>
    <definedName name="pt_cs_7">'ТС. Резерв мощности'!$45:$54</definedName>
    <definedName name="pt_cs_8">'ТС. Т-подкл'!$47:$58</definedName>
    <definedName name="pt_cs_9">'ХВС. Т-пит'!$43:$50</definedName>
    <definedName name="PT_DEL_HL_CS_COLUMN_MARKER">'Перечень тарифов'!$P$8</definedName>
    <definedName name="PT_DEL_HL_IST_TE_COLUMN_MARKER">'Перечень тарифов'!$T$8</definedName>
    <definedName name="PT_DEL_HL_NTAR_COLUMN_MARKER">'Перечень тарифов'!$H$8</definedName>
    <definedName name="PT_DEL_HL_TER_COLUMN_MARKER">'Перечень тарифов'!$L$8</definedName>
    <definedName name="PT_DEL_HL_VTAR_COLUMN_MARKER">'Перечень тарифов'!$C$8</definedName>
    <definedName name="PT_DIAMETERS_2_LIST">TEHSHEET!$AZ$76:$AZ$82</definedName>
    <definedName name="PT_DIAMETERS_LIST">TEHSHEET!$AZ$60:$AZ$64</definedName>
    <definedName name="PT_DIFFERENTIATION_CS">'Перечень тарифов'!$AL$12:$AL$122</definedName>
    <definedName name="PT_DIFFERENTIATION_CS_ID">'Перечень тарифов'!$AF$12:$AF$122</definedName>
    <definedName name="PT_DIFFERENTIATION_IST_TE">'Перечень тарифов'!$AM$12:$AM$122</definedName>
    <definedName name="PT_DIFFERENTIATION_IST_TE_ID">'Перечень тарифов'!$AG$12:$AG$122</definedName>
    <definedName name="PT_DIFFERENTIATION_NTAR">'Перечень тарифов'!$AJ$12:$AJ$122</definedName>
    <definedName name="PT_DIFFERENTIATION_NTAR_ID">'Перечень тарифов'!$AD$12:$AD$122</definedName>
    <definedName name="PT_DIFFERENTIATION_NUM_CS">'Перечень тарифов'!$AP$12:$AP$122</definedName>
    <definedName name="PT_DIFFERENTIATION_NUM_IST_TE">'Перечень тарифов'!$AQ$12:$AQ$122</definedName>
    <definedName name="PT_DIFFERENTIATION_NUM_NTAR">'Перечень тарифов'!$AN$12:$AN$122</definedName>
    <definedName name="PT_DIFFERENTIATION_NUM_TER">'Перечень тарифов'!$AO$12:$AO$122</definedName>
    <definedName name="PT_DIFFERENTIATION_TER">'Перечень тарифов'!$AK$12:$AK$122</definedName>
    <definedName name="PT_DIFFERENTIATION_TER_ID">'Перечень тарифов'!$AE$12:$AE$122</definedName>
    <definedName name="PT_DIFFERENTIATION_VDET">'Перечень тарифов'!$AI$12:$AI$122</definedName>
    <definedName name="PT_DIFFERENTIATION_VTAR">'Перечень тарифов'!$AH$12:$AH$122</definedName>
    <definedName name="PT_DIFFERENTIATION_VTAR_ID">'Перечень тарифов'!$AC$12:$AC$122</definedName>
    <definedName name="PT_FLAG_CS_COLUMN_MARKER">'Перечень тарифов'!$O$8</definedName>
    <definedName name="PT_FLAG_IST_TE_COLUMN_MARKER">'Перечень тарифов'!$S$8</definedName>
    <definedName name="PT_FLAG_TER_COLUMN_MARKER">'Перечень тарифов'!$K$8</definedName>
    <definedName name="PT_FLAG_VTAR_COLUMN_MARKER">'Перечень тарифов'!$F$8</definedName>
    <definedName name="PT_GROUP_CONSUMER_LIST">TEHSHEET!$AZ$29:$AZ$33</definedName>
    <definedName name="pt_ist_te_1">'ТС. Т-ТЭ | &gt;=25МВт'!$46:$53</definedName>
    <definedName name="pt_ist_te_2">'ТС. Т-ТЭ | ТСО'!$46:$53</definedName>
    <definedName name="pt_ist_te_3">'ТС. Т-ТН'!$46:$53</definedName>
    <definedName name="pt_ist_te_4">'ТС. Т-гор.вода'!$52:$61</definedName>
    <definedName name="pt_ist_te_4i">'Т-ТЭ | индикат'!$22:$29</definedName>
    <definedName name="pt_ist_te_4p">'Т-ТЭ | предел'!$22:$29</definedName>
    <definedName name="pt_ist_te_5">'ТС. Т-передача ТЭ'!$46:$53</definedName>
    <definedName name="pt_ist_te_6">'ТС. Т-передача ТН'!$46:$53</definedName>
    <definedName name="pt_ist_te_7">'ТС. Резерв мощности'!$46:$53</definedName>
    <definedName name="pt_ist_te_8">'ТС. Т-подкл'!$48:$57</definedName>
    <definedName name="PT_LOAD_LIST">TEHSHEET!$AZ$67:$AZ$72</definedName>
    <definedName name="PT_NETS_LIST">TEHSHEET!$AZ$55:$AZ$57</definedName>
    <definedName name="pt_ntar_1">'ТС. Т-ТЭ | &gt;=25МВт'!$43:$56</definedName>
    <definedName name="pt_ntar_10">'ХВС. Т-тех'!$41:$52</definedName>
    <definedName name="pt_ntar_11">'ХВС. Т-транс'!$41:$52</definedName>
    <definedName name="pt_ntar_12">'ХВС. Т-подвоз'!$41:$52</definedName>
    <definedName name="pt_ntar_13">'ХВС. Т-подкл'!$46:$62</definedName>
    <definedName name="pt_ntar_14">'ГВС. Т-гор.вода'!$41:$52</definedName>
    <definedName name="pt_ntar_15">'ГВС. Т-транс'!$41:$52</definedName>
    <definedName name="pt_ntar_16">'ГВС. Т-подкл'!$46:$62</definedName>
    <definedName name="pt_ntar_17">'ВО. Т-во'!$41:$52</definedName>
    <definedName name="pt_ntar_18">'ВО. Т-транс'!$41:$52</definedName>
    <definedName name="pt_ntar_19">'ВО. Т-подкл'!$46:$62</definedName>
    <definedName name="pt_ntar_2">'ТС. Т-ТЭ | ТСО'!$43:$56</definedName>
    <definedName name="pt_ntar_3">'ТС. Т-ТН'!$43:$56</definedName>
    <definedName name="pt_ntar_4">'ТС. Т-гор.вода'!$49:$64</definedName>
    <definedName name="pt_ntar_4i">'Т-ТЭ | индикат'!$19:$32</definedName>
    <definedName name="pt_ntar_4p">'Т-ТЭ | предел'!$19:$32</definedName>
    <definedName name="pt_ntar_5">'ТС. Т-передача ТЭ'!$43:$56</definedName>
    <definedName name="pt_ntar_6">'ТС. Т-передача ТН'!$43:$56</definedName>
    <definedName name="pt_ntar_7">'ТС. Резерв мощности'!$43:$56</definedName>
    <definedName name="pt_ntar_8">'ТС. Т-подкл'!$45:$61</definedName>
    <definedName name="pt_ntar_9">'ХВС. Т-пит'!$41:$52</definedName>
    <definedName name="PT_P_FORM_COLDVSNA_4_NAME_FORM">DATA_FORMS!$C$17</definedName>
    <definedName name="PT_P_FORM_COLDVSNA_5_NAME_FORM">DATA_FORMS!$C$18</definedName>
    <definedName name="PT_P_FORM_HEAT_21_NAME_FORM">DATA_FORMS!$C$13</definedName>
    <definedName name="PT_P_FORM_HEAT_22_NAME_FORM">DATA_FORMS!$C$14</definedName>
    <definedName name="PT_P_FORM_HEAT_4_NAME_FORM">DATA_FORMS!$C$9</definedName>
    <definedName name="PT_P_FORM_HEAT_5_NAME_FORM">DATA_FORMS!$C$10</definedName>
    <definedName name="PT_P_FORM_HEAT_6_NAME_FORM">DATA_FORMS!$C$11</definedName>
    <definedName name="PT_P_FORM_HEAT_7_NAME_FORM">DATA_FORMS!$C$12</definedName>
    <definedName name="PT_P_FORM_HOTVSNA_4_NAME_FORM">DATA_FORMS!$C$21</definedName>
    <definedName name="PT_P_FORM_HOTVSNA_5_NAME_FORM">DATA_FORMS!$C$22</definedName>
    <definedName name="PT_P_FORM_VOTV_4_NAME_FORM">DATA_FORMS!$C$25</definedName>
    <definedName name="PT_P_FORM_VOTV_5_NAME_FORM">DATA_FORMS!$C$26</definedName>
    <definedName name="PT_R_FORM_COLDVSNA_16_NAME_FORM">DATA_FORMS!$C$19</definedName>
    <definedName name="PT_R_FORM_COLDVSNA_17_NAME_FORM">DATA_FORMS!$C$20</definedName>
    <definedName name="PT_R_FORM_HEAT_21_NAME_FORM">DATA_FORMS!$C$13</definedName>
    <definedName name="PT_R_FORM_HEAT_22_NAME_FORM">DATA_FORMS!$C$14</definedName>
    <definedName name="PT_R_FORM_HEAT_23_NAME_FORM">DATA_FORMS!$C$15</definedName>
    <definedName name="PT_R_FORM_HEAT_24_NAME_FORM">DATA_FORMS!$C$16</definedName>
    <definedName name="PT_R_FORM_HOTVSNA_16_NAME_FORM">DATA_FORMS!$C$23</definedName>
    <definedName name="PT_R_FORM_HOTVSNA_17_NAME_FORM">DATA_FORMS!$C$24</definedName>
    <definedName name="PT_R_FORM_VOTV_16_NAME_FORM">DATA_FORMS!$C$27</definedName>
    <definedName name="PT_R_FORM_VOTV_17_NAME_FORM">DATA_FORMS!$C$28</definedName>
    <definedName name="PT_SCHEME_LIST">TEHSHEET!$AZ$36:$AZ$39</definedName>
    <definedName name="pt_ter_1">'ТС. Т-ТЭ | &gt;=25МВт'!$44:$55</definedName>
    <definedName name="pt_ter_10">'ХВС. Т-тех'!$42:$51</definedName>
    <definedName name="pt_ter_11">'ХВС. Т-транс'!$42:$51</definedName>
    <definedName name="pt_ter_12">'ХВС. Т-подвоз'!$42:$51</definedName>
    <definedName name="pt_ter_13">'ХВС. Т-подкл'!$47:$61</definedName>
    <definedName name="pt_ter_14">'ГВС. Т-гор.вода'!$42:$51</definedName>
    <definedName name="pt_ter_15">'ГВС. Т-транс'!$42:$51</definedName>
    <definedName name="pt_ter_16">'ГВС. Т-подкл'!$47:$61</definedName>
    <definedName name="pt_ter_17">'ВО. Т-во'!$42:$51</definedName>
    <definedName name="pt_ter_18">'ВО. Т-транс'!$42:$51</definedName>
    <definedName name="pt_ter_19">'ВО. Т-подкл'!$47:$61</definedName>
    <definedName name="pt_ter_2">'ТС. Т-ТЭ | ТСО'!$44:$55</definedName>
    <definedName name="pt_ter_3">'ТС. Т-ТН'!$44:$55</definedName>
    <definedName name="pt_ter_4">'ТС. Т-гор.вода'!$50:$63</definedName>
    <definedName name="pt_ter_4i">'Т-ТЭ | индикат'!$20:$31</definedName>
    <definedName name="pt_ter_4p">'Т-ТЭ | предел'!$20:$31</definedName>
    <definedName name="pt_ter_5">'ТС. Т-передача ТЭ'!$44:$55</definedName>
    <definedName name="pt_ter_6">'ТС. Т-передача ТН'!$44:$55</definedName>
    <definedName name="pt_ter_7">'ТС. Резерв мощности'!$44:$55</definedName>
    <definedName name="pt_ter_8">'ТС. Т-подкл'!$46:$59</definedName>
    <definedName name="pt_ter_9">'ХВС. Т-пит'!$42:$51</definedName>
    <definedName name="PT_TN_LIST">TEHSHEET!$AZ$42:$AZ$52</definedName>
    <definedName name="PT_VDET_COLUMN_MARKER">'Перечень тарифов'!$G$8</definedName>
    <definedName name="PURCH_NAME_FORM">DATA_FORMS!$C$29</definedName>
    <definedName name="Q_LIMIT_CheckC">Ограничения!$E$32:$M$39</definedName>
    <definedName name="Q_LIMIT_diff_1">Ограничения!$I$26:$J$28</definedName>
    <definedName name="Q_Limit_diff_66">Ограничения!$K$26:$L$28</definedName>
    <definedName name="Q_LIMIT_p3">Ограничения!$F$36:$M$36</definedName>
    <definedName name="Q_LIMIT_p4">Ограничения!$F$38:$M$38</definedName>
    <definedName name="Q_PH_diff_1">'Потребительские характеристики'!$I$9:$J$11</definedName>
    <definedName name="Q_PH_diff_66">'Потребительские характеристики'!$K$9:$L$11</definedName>
    <definedName name="Q_TP_COUNT_REFUSAL">ТП!$H$17:$H$17</definedName>
    <definedName name="Q_TP_diff_1">ТП!$H$9:$H$11</definedName>
    <definedName name="Q_TP_diff_66">ТП!$I$9:$I$11</definedName>
    <definedName name="QRE_METHOD_LIST">TEHSHEET!$AZ$8:$AZ$10</definedName>
    <definedName name="QUARTER">TEHSHEET!$F$2:$F$5</definedName>
    <definedName name="REESTR_IP_RANGE">REESTR_IP!$A$2:$D$11</definedName>
    <definedName name="REESTR_LINK_RANGE">REESTR_LINK!$A$2:$C$3</definedName>
    <definedName name="REESTR_VT_RANGE">REESTR_VT!$A$2:$B$11</definedName>
    <definedName name="REGION">TEHSHEET!$A$2:$A$87</definedName>
    <definedName name="region_name">Титульный!$F$7</definedName>
    <definedName name="RegulatoryPeriod">Титульный!$F$11:$F$12</definedName>
    <definedName name="ReportPeriod">Титульный!$F$11:$F$15</definedName>
    <definedName name="ROIV_CASE_ADD_HL_CASE_COLUMN_MARKER">'Дела об установлении тарифов'!$F$1</definedName>
    <definedName name="ROIV_CASE_DEL_HL_CASE_COLUMN_MARKER">'Дела об установлении тарифов'!$D$1</definedName>
    <definedName name="ROIV_CASE_NUM_CASE_COLUMN_MARKER">'Дела об установлении тарифов'!$E$1</definedName>
    <definedName name="ROIV_INFO_DEL_HL_PHONE_COLUMN_MARKER">'Орган регулирования'!$C$1</definedName>
    <definedName name="ROIV_INFO_LIST">TEHSHEET!$AZ$97:$AZ$99</definedName>
    <definedName name="ROIV_INFO_NAME">'Орган регулирования'!$F$12</definedName>
    <definedName name="ROIV_INFO_NUM_PHONE_COLUMN_MARKER">'Орган регулирования'!$D$1</definedName>
    <definedName name="ROIV_ORG_DEL_HL_ORG_COLUMN_MARKER">'Перечень организаций'!$D$1</definedName>
    <definedName name="ROIV_ORG_INN_COLUMN_MARKER">'Перечень организаций'!$G$1</definedName>
    <definedName name="ROIV_ORG_KPP_COLUMN_MARKER">'Перечень организаций'!$H$1</definedName>
    <definedName name="ROIV_ORG_NAME_ORG_COLUMN_MARKER">'Перечень организаций'!$F$1</definedName>
    <definedName name="ROIV_ORG_NUM_ORG_COLUMN_MARKER">'Перечень организаций'!$E$1</definedName>
    <definedName name="ROIV_ORG_TECH_ORG_ID_COLUMN_MARKER">'Перечень организаций'!$A$1</definedName>
    <definedName name="ROIV_OTV_ADD_HL_DL_COLUMN_MARKER">'Привлечение к ответственности'!$L$1</definedName>
    <definedName name="ROIV_OTV_DEL_HL_DL_COLUMN_MARKER">'Привлечение к ответственности'!$J$1</definedName>
    <definedName name="ROIV_OTV_DEL_HL_ORG_COLUMN_MARKER">'Привлечение к ответственности'!$D$1</definedName>
    <definedName name="ROIV_OTV_INN_COLUMN_MARKER">'Привлечение к ответственности'!$I$1</definedName>
    <definedName name="ROIV_OTV_NAME_ORG_COLUMN_MARKER">'Привлечение к ответственности'!$H$1</definedName>
    <definedName name="ROIV_OTV_NUM_DL_COLUMN_MARKER">'Привлечение к ответственности'!$K$1</definedName>
    <definedName name="ROIV_OTV_NUM_ORG_COLUMN_MARKER">'Привлечение к ответственности'!$F$1</definedName>
    <definedName name="ROIV_OTV_TECH_ORG_ID_COLUMN_MARKER">'Привлечение к ответственности'!$A$1</definedName>
    <definedName name="SKI_number">TEHSHEET!$I$2:$I$21</definedName>
    <definedName name="StartDateList">TEHSHEET!$G$46:$G$53</definedName>
    <definedName name="TECH_ORG_ID">Титульный!$F$1</definedName>
    <definedName name="TEMPLATE_DATA_POINT">DATA_NPA!$T$11:$X$16</definedName>
    <definedName name="TEMPLATE_DATA_POINT_FHD">DATA_NPA!$T$18:$W$146</definedName>
    <definedName name="TEMPLATE_GROUP">TEHSHEET!$E$45</definedName>
    <definedName name="TEMPLATE_NAME_FORM_LIST">DATA_FORMS!$D$3:$H$35</definedName>
    <definedName name="TEMPLATE_NOTE_POINT">DATA_NPA!$Z$11:$AD$15</definedName>
    <definedName name="TEMPLATE_NOTE_POINT_FHD">DATA_NPA!$Z$18:$AD$146</definedName>
    <definedName name="TEMPLATE_NUMBER_FORM_LIST">DATA_FORMS!$D$2:$H$2</definedName>
    <definedName name="TEMPLATE_NUMBER_POINT_FHD">DATA_NPA!$O$18:$S$146</definedName>
    <definedName name="TEMPLATE_ORG_DATA_POINT">DATA_NPA!$Z$3:$AD$9</definedName>
    <definedName name="TEMPLATE_SPHERE">TEHSHEET!$E$36</definedName>
    <definedName name="TEMPLATE_SPHERE_LIST">DATA_FORMS!$D$1:$H$1</definedName>
    <definedName name="TEMPLATE_SPHERE_LIST_FOR_NOTE">DATA_NPA!$Z$2:$AD$2</definedName>
    <definedName name="TEMPLATE_SPHERE_LIST_FOR_NPA">DATA_NPA!$T$2:$X$2</definedName>
    <definedName name="TEMPLATE_SPHERE_RUS">TEHSHEET!$F$36</definedName>
    <definedName name="TEMPLATE_SPHERE_RUS_2">TEHSHEET!$G$36</definedName>
    <definedName name="TemplateState">TEHSHEET!$E$16</definedName>
    <definedName name="ter_1">'Список территорий'!$G$13:$I$13</definedName>
    <definedName name="TER_ID">TEHSHEET!$E$62</definedName>
    <definedName name="TERMS_LINK">Договоры!$F$12:$F$22</definedName>
    <definedName name="TERMS_NAME_FORM">DATA_FORMS!$C$5</definedName>
    <definedName name="TERMS_NUM_CONTRACT_COLUMN_MARKER">Договоры!$D$8</definedName>
    <definedName name="TERMS_P_1">DATA_NPA!$M$148</definedName>
    <definedName name="TERMS_TKO_TRANS_DATA">Договоры!$E$25:$F$26</definedName>
    <definedName name="TERRITORY_CheckC">'Список территорий'!$E$11:$I$15</definedName>
    <definedName name="TERRITORY_ID">TEHSHEET!$E$56</definedName>
    <definedName name="TERRITORY_LIST_ID">'Список территорий'!$F$11:$F$15</definedName>
    <definedName name="TERRITORY_MO_LIST">'Список территорий'!$H$11:$H$15</definedName>
    <definedName name="TERRITORY_MR_LIST">'Список территорий'!$G$11:$G$15</definedName>
    <definedName name="TERRITORY_NAME_COL">'Список территорий'!$G$1:$I$1</definedName>
    <definedName name="TERRITORY_POINT_NUMBER_1">'Список территорий'!$A:$A</definedName>
    <definedName name="TITLE_BUHG_FLAG">Титульный!$F$53</definedName>
    <definedName name="TITLE_CONNECTION_FLAG">Титульный!$F$49</definedName>
    <definedName name="TITLE_DATA_TYPE">Титульный!$F$17</definedName>
    <definedName name="TITLE_DATE_BUHG">Титульный!$F$54</definedName>
    <definedName name="TITLE_DATE_CHANGE">Титульный!$F$18</definedName>
    <definedName name="TITLE_DATE_CHANGE_PERIOD">Титульный!$F$19</definedName>
    <definedName name="TITLE_DATE_FIL">Титульный!$F$13</definedName>
    <definedName name="TITLE_DATE_PARKING">Титульный!$H$5</definedName>
    <definedName name="TITLE_DATE_PR">Титульный!$F$21</definedName>
    <definedName name="TITLE_DATE_PR_CHANGE">Титульный!$F$27</definedName>
    <definedName name="TITLE_DIFFERENTIATION_TYPE">Титульный!$F$41</definedName>
    <definedName name="TITLE_FIL_YEAR">Титульный!$F$14</definedName>
    <definedName name="TITLE_FLAG_DIFF_SELLER">Титульный!$F$46</definedName>
    <definedName name="TITLE_FLAG_INTERNET">Титульный!$F$39</definedName>
    <definedName name="TITLE_FLAG_IP">Титульный!$F$58</definedName>
    <definedName name="TITLE_FLAG_IP_DETAILED">Титульный!$F$60</definedName>
    <definedName name="TITLE_FLAG_NO_DIFF_COMPONENT">Титульный!$F$47</definedName>
    <definedName name="TITLE_FLAG_NOT_REG_PRICE">Титульный!$F$51</definedName>
    <definedName name="TITLE_FLAG_REG_PRICE_IP">Титульный!$F$59</definedName>
    <definedName name="TITLE_FLAG_TKO_TRANS">Титульный!$F$62</definedName>
    <definedName name="TITLE_FLAG_TOP80_ACTIVITY">Титульный!$F$56</definedName>
    <definedName name="TITLE_HEADER_PR_CHANGE">Титульный!$F$25</definedName>
    <definedName name="TITLE_IP_DETAILED_METHOD_LIST">TEHSHEET!$AZ$15:$AZ$17</definedName>
    <definedName name="TITLE_IST_PUB">Титульный!$F$24</definedName>
    <definedName name="TITLE_IST_PUB_CHANGE">Титульный!$F$29</definedName>
    <definedName name="TITLE_NAME_OR_PR">Титульный!$F$23</definedName>
    <definedName name="TITLE_NAME_OR_PR_CHANGE">Титульный!$F$26</definedName>
    <definedName name="TITLE_NAME_ROIV">Титульный!#REF!</definedName>
    <definedName name="TITLE_NUMBER_PR">Титульный!$F$22</definedName>
    <definedName name="TITLE_NUMBER_PR_CHANGE">Титульный!$F$28</definedName>
    <definedName name="TITLE_PERIOD_END">Титульный!$F$12</definedName>
    <definedName name="TITLE_PERIOD_START">Титульный!$F$11</definedName>
    <definedName name="TITLE_PRICE_INDICATORS_GRAPH">Титульный!$F$44</definedName>
    <definedName name="TITLE_PRICE_INDICATORS_LEVEL">Титульный!$F$43</definedName>
    <definedName name="TITLE_STRUCTURE_INFO_ROIV">Титульный!$F$9</definedName>
    <definedName name="TITLE_TYPE_ORG">Титульный!$F$36</definedName>
    <definedName name="TKO_PT_VED_ID">TEHSHEET!$CC$19:$CC$24</definedName>
    <definedName name="TKO_PT_VED_NAME">TEHSHEET!$CD$19:$CD$24</definedName>
    <definedName name="TKO_PT_VED_NAME_LIST">TEHSHEET!$CC$19:$CD$24</definedName>
    <definedName name="TP_NAME_FORM">DATA_FORMS!$C$3</definedName>
    <definedName name="TP_NUMBER_FORM">DATA_FORMS!$C$2</definedName>
    <definedName name="TP_P_A">DATA_NPA!$M$11</definedName>
    <definedName name="TP_P_B">DATA_NPA!$M$12</definedName>
    <definedName name="TP_P_G">DATA_NPA!$M$15</definedName>
    <definedName name="TP_P_NOTE_A">DATA_NPA!$N$11</definedName>
    <definedName name="TP_P_NOTE_B">DATA_NPA!$N$12</definedName>
    <definedName name="TP_P_NOTE_G">DATA_NPA!$N$15</definedName>
    <definedName name="TP_P_NOTE_G_1">DATA_NPA!$N$16</definedName>
    <definedName name="TP_P_NOTE_V">DATA_NPA!$N$13</definedName>
    <definedName name="TP_P_NOTE_V_1">DATA_NPA!$N$14</definedName>
    <definedName name="TP_P_V">DATA_NPA!$M$13</definedName>
    <definedName name="TP_P_V_1">DATA_NPA!$M$14</definedName>
    <definedName name="TYPE_TKO_LIST">TEHSHEET!$AZ$85:$AZ$87</definedName>
    <definedName name="UNIT_CONNECT_LIST">TEHSHEET!$AZ$102:$AZ$104</definedName>
    <definedName name="VD_ID_LIST">REESTR_VED!$A$2:$A$8</definedName>
    <definedName name="VD_LIST">REESTR_VED!$A$2:$B$8</definedName>
    <definedName name="VD_NAME_LIST">REESTR_VED!$B$2:$B$8</definedName>
    <definedName name="VDET_END_DATE">TEHSHEET!$F$32</definedName>
    <definedName name="VDET_START_DATE">TEHSHEET!$E$32</definedName>
    <definedName name="version">Инструкция!$B$3</definedName>
    <definedName name="VOTV_FIN_SRC_LIST">TEHSHEET!$BL$4:$BL$36</definedName>
    <definedName name="VOTV_FIN_SRC_VLD_LIST">TEHSHEET!$BL$39:$BL$62</definedName>
    <definedName name="VOTV_IP_EVENT_CI_STAGE_LIST">TEHSHEET!$BL$97:$BL$100</definedName>
    <definedName name="VOTV_IP_EVENT_GROUP_LIST">TEHSHEET!$BL$69:$BL$76</definedName>
    <definedName name="VOTV_IP_EVENT_SUBGROUP_1_LIST">TEHSHEET!$BL$80:$BL$83</definedName>
    <definedName name="VOTV_IP_EVENT_SUBGROUP_3_LIST">TEHSHEET!$BL$87:$BL$88</definedName>
    <definedName name="VOTV_IP_EVENT_SUBGROUP_5_LIST">TEHSHEET!$BL$92:$BL$93</definedName>
    <definedName name="VOTV_IP_EVENT_TYPE_LIST">TEHSHEET!$BL$108</definedName>
    <definedName name="VOTV_PT_VED_ID">TEHSHEET!$BZ$19:$BZ$21</definedName>
    <definedName name="VOTV_PT_VED_NAME">TEHSHEET!$CA$19:$CA$21</definedName>
    <definedName name="VOTV_PT_VED_NAME_LIST">TEHSHEET!$BZ$19:$CA$21</definedName>
    <definedName name="VOTV_TARIFF_A_VOTV_ADD_HL_COLUMN_MARKER">'ВО. Т-во'!$T$34</definedName>
    <definedName name="VOTV_TARIFF_A_VOTV_DEL_HL_DATA_DIFF_COLUMN_MARKER">'ВО. Т-во'!$R$34</definedName>
    <definedName name="VOTV_TARIFF_A_VOTV_DEL_HL_FLAG_DIFF_COLUMN_MARKER">'ВО. Т-во'!$P$34</definedName>
    <definedName name="VOTV_TARIFF_A_VOTV_DEL_HL_GC_COLUMN_MARKER">'ВО. Т-во'!$Q$34</definedName>
    <definedName name="VOTV_TARIFF_A_VOTV_DELETE_PERIOD_ROW_MARKER">'ВО. Т-во'!$O$35</definedName>
    <definedName name="VOTV_TARIFF_A_VOTV_FLAG_BLOCK_COLUMN_MARKER">'ВО. Т-во'!$L$36</definedName>
    <definedName name="VOTV_TARIFF_A_VOTV_FLAG_BLOCK_ROW_MARKER">'ВО. Т-во'!$O$20</definedName>
    <definedName name="VOTV_TARIFF_A_VOTV_NUM_CS_COLUMN_MARKER">'ВО. Т-во'!$G$36</definedName>
    <definedName name="VOTV_TARIFF_A_VOTV_NUM_DATA_DIFF_COLUMN_MARKER">'ВО. Т-во'!$K$36</definedName>
    <definedName name="VOTV_TARIFF_A_VOTV_NUM_FLAG_DIFF_COLUMN_MARKER">'ВО. Т-во'!$I$36</definedName>
    <definedName name="VOTV_TARIFF_A_VOTV_NUM_GC_COLUMN_MARKER">'ВО. Т-во'!$J$36</definedName>
    <definedName name="VOTV_TARIFF_A_VOTV_NUM_NTAR_COLUMN_MARKER">'ВО. Т-во'!$E$36</definedName>
    <definedName name="VOTV_TARIFF_A_VOTV_NUM_TER_COLUMN_MARKER">'ВО. Т-во'!$F$36</definedName>
    <definedName name="VOTV_TARIFF_B_VOTV_ADD_HL_COLUMN_MARKER">'ВО. Т-транс'!$T$34</definedName>
    <definedName name="VOTV_TARIFF_B_VOTV_DEL_HL_DATA_DIFF_COLUMN_MARKER">'ВО. Т-транс'!$R$34</definedName>
    <definedName name="VOTV_TARIFF_B_VOTV_DEL_HL_FLAG_DIFF_COLUMN_MARKER">'ВО. Т-транс'!$P$34</definedName>
    <definedName name="VOTV_TARIFF_B_VOTV_DEL_HL_GC_COLUMN_MARKER">'ВО. Т-транс'!$Q$34</definedName>
    <definedName name="VOTV_TARIFF_B_VOTV_DELETE_PERIOD_ROW_MARKER">'ВО. Т-транс'!$O$35</definedName>
    <definedName name="VOTV_TARIFF_B_VOTV_FLAG_BLOCK_COLUMN_MARKER">'ВО. Т-транс'!$L$36</definedName>
    <definedName name="VOTV_TARIFF_B_VOTV_FLAG_BLOCK_ROW_MARKER">'ВО. Т-транс'!$O$20</definedName>
    <definedName name="VOTV_TARIFF_B_VOTV_NUM_CS_COLUMN_MARKER">'ВО. Т-транс'!$G$36</definedName>
    <definedName name="VOTV_TARIFF_B_VOTV_NUM_DATA_DIFF_COLUMN_MARKER">'ВО. Т-транс'!$K$36</definedName>
    <definedName name="VOTV_TARIFF_B_VOTV_NUM_FLAG_DIFF_COLUMN_MARKER">'ВО. Т-транс'!$I$36</definedName>
    <definedName name="VOTV_TARIFF_B_VOTV_NUM_GC_COLUMN_MARKER">'ВО. Т-транс'!$J$36</definedName>
    <definedName name="VOTV_TARIFF_B_VOTV_NUM_NTAR_COLUMN_MARKER">'ВО. Т-транс'!$E$36</definedName>
    <definedName name="VOTV_TARIFF_B_VOTV_NUM_TER_COLUMN_MARKER">'ВО. Т-транс'!$F$36</definedName>
    <definedName name="VOTV_TARIFF_C_VOTV_ADD_HL_COLUMN_MARKER">'ВО. Т-подкл'!$T$38</definedName>
    <definedName name="VOTV_TARIFF_C_VOTV_ADD_HL_DIAMETERS_COLUMN_MARKER">'ВО. Т-подкл'!$AK$38</definedName>
    <definedName name="VOTV_TARIFF_C_VOTV_ADD_HL_LEN_COLUMN_MARKER">'ВО. Т-подкл'!$AO$38</definedName>
    <definedName name="VOTV_TARIFF_C_VOTV_ADD_HL_LOAD_COLUMN_MARKER">'ВО. Т-подкл'!$AG$38</definedName>
    <definedName name="VOTV_TARIFF_C_VOTV_ADD_HL_NETS_COLUMN_MARKER">'ВО. Т-подкл'!$AS$38</definedName>
    <definedName name="VOTV_TARIFF_C_VOTV_DEL_HL_DATA_DIFF_COLUMN_MARKER">'ВО. Т-подкл'!$R$38</definedName>
    <definedName name="VOTV_TARIFF_C_VOTV_DEL_HL_DIAMETERS_COLUMN_MARKER">'ВО. Т-подкл'!$AI$38</definedName>
    <definedName name="VOTV_TARIFF_C_VOTV_DEL_HL_FLAG_DIFF_COLUMN_MARKER">'ВО. Т-подкл'!$P$38</definedName>
    <definedName name="VOTV_TARIFF_C_VOTV_DEL_HL_GC_COLUMN_MARKER">'ВО. Т-подкл'!$Q$38</definedName>
    <definedName name="VOTV_TARIFF_C_VOTV_DEL_HL_LEN_COLUMN_MARKER">'ВО. Т-подкл'!$AM$38</definedName>
    <definedName name="VOTV_TARIFF_C_VOTV_DEL_HL_LOAD_COLUMN_MARKER">'ВО. Т-подкл'!$AE$38</definedName>
    <definedName name="VOTV_TARIFF_C_VOTV_DEL_HL_NETS_COLUMN_MARKER">'ВО. Т-подкл'!$AQ$38</definedName>
    <definedName name="VOTV_TARIFF_C_VOTV_DELETE_PERIOD_ROW_MARKER">'ВО. Т-подкл'!$O$39</definedName>
    <definedName name="VOTV_TARIFF_C_VOTV_FLAG_BLOCK_COLUMN_MARKER">'ВО. Т-подкл'!$L$44</definedName>
    <definedName name="VOTV_TARIFF_C_VOTV_FLAG_BLOCK_ROW_MARKER">'ВО. Т-подкл'!$O$24</definedName>
    <definedName name="VOTV_TARIFF_C_VOTV_NUM_CS_COLUMN_MARKER">'ВО. Т-подкл'!$G$44</definedName>
    <definedName name="VOTV_TARIFF_C_VOTV_NUM_DATA_DIFF_COLUMN_MARKER">'ВО. Т-подкл'!$K$44</definedName>
    <definedName name="VOTV_TARIFF_C_VOTV_NUM_DIAMETERS_COLUMN_MARKER">'ВО. Т-подкл'!$AJ$38</definedName>
    <definedName name="VOTV_TARIFF_C_VOTV_NUM_FLAG_DIFF_COLUMN_MARKER">'ВО. Т-подкл'!$I$44</definedName>
    <definedName name="VOTV_TARIFF_C_VOTV_NUM_GC_COLUMN_MARKER">'ВО. Т-подкл'!$J$44</definedName>
    <definedName name="VOTV_TARIFF_C_VOTV_NUM_LEN_COLUMN_MARKER">'ВО. Т-подкл'!$AN$38</definedName>
    <definedName name="VOTV_TARIFF_C_VOTV_NUM_LOAD_COLUMN_MARKER">'ВО. Т-подкл'!$AF$38</definedName>
    <definedName name="VOTV_TARIFF_C_VOTV_NUM_NETS_COLUMN_MARKER">'ВО. Т-подкл'!$AR$38</definedName>
    <definedName name="VOTV_TARIFF_C_VOTV_NUM_NTAR_COLUMN_MARKER">'ВО. Т-подкл'!$E$44</definedName>
    <definedName name="VOTV_TARIFF_C_VOTV_NUM_TER_COLUMN_MARKER">'ВО. Т-подкл'!$F$44</definedName>
    <definedName name="VSNA_FIN_SRC_LIST">TEHSHEET!$BJ$4:$BJ$34</definedName>
    <definedName name="VSNA_FIN_SRC_VLD_LIST">TEHSHEET!$BJ$39:$BJ$60</definedName>
    <definedName name="VSNA_IP_EVENT_CI_STAGE_LIST">TEHSHEET!$BJ$97:$BJ$100</definedName>
    <definedName name="VSNA_IP_EVENT_GROUP_LIST">TEHSHEET!$BJ$69:$BJ$76</definedName>
    <definedName name="VSNA_IP_EVENT_SUBGROUP_1_LIST">TEHSHEET!$BJ$80:$BJ$83</definedName>
    <definedName name="VSNA_IP_EVENT_SUBGROUP_3_LIST">TEHSHEET!$BJ$87:$BJ$88</definedName>
    <definedName name="VSNA_IP_EVENT_SUBGROUP_5_LIST">TEHSHEET!$BJ$92:$BJ$93</definedName>
    <definedName name="VSNA_IP_EVENT_TYPE_LIST">TEHSHEET!$BJ$108</definedName>
    <definedName name="VTAR_ID">TEHSHEET!$E$59</definedName>
    <definedName name="Y_N_DIFFERENTIATION_AREA">Дифференциация!$F$12:$F$17</definedName>
    <definedName name="Y_N_DIFFERENTIATION_SYSTEM">Дифференциация!$J$12:$J$17</definedName>
    <definedName name="YEAR_IP_LIST">TEHSHEET!$BE$2:$BE$72</definedName>
    <definedName name="year_list">TEHSHEET!$C$2:$C$6</definedName>
    <definedName name="year_list1">TEHSHEET!$B$2:$B$27</definedName>
  </definedNames>
  <calcPr calcId="144525"/>
  <fileRecoveryPr repairLoad="1"/>
</workbook>
</file>

<file path=xl/calcChain.xml><?xml version="1.0" encoding="utf-8"?>
<calcChain xmlns="http://schemas.openxmlformats.org/spreadsheetml/2006/main">
  <c r="S11" i="66" l="1" a="1"/>
  <c r="S11" i="66"/>
  <c r="G11" i="66"/>
  <c r="S2" i="66" a="1"/>
  <c r="S2" i="66" s="1"/>
  <c r="G2" i="66"/>
  <c r="R10" i="65"/>
  <c r="P10" i="65" a="1"/>
  <c r="P10" i="65"/>
  <c r="F10" i="65"/>
  <c r="K8" i="65"/>
  <c r="R2" i="65"/>
  <c r="P2" i="65" a="1"/>
  <c r="P2" i="65" s="1"/>
  <c r="P9" i="64"/>
  <c r="N9" i="64" a="1"/>
  <c r="N9" i="64"/>
  <c r="P2" i="64"/>
  <c r="N2" i="64" a="1"/>
  <c r="N2" i="64" s="1"/>
  <c r="F12" i="63"/>
  <c r="F2" i="65" s="1"/>
  <c r="D6" i="63"/>
  <c r="BF63" i="54"/>
  <c r="BF62" i="54"/>
  <c r="BF61" i="54"/>
  <c r="BF60" i="54"/>
  <c r="BF59" i="54"/>
  <c r="BF58" i="54"/>
  <c r="BF57" i="54"/>
  <c r="BF56" i="54"/>
  <c r="BB56" i="54"/>
  <c r="AW56" i="54"/>
  <c r="AU56" i="54"/>
  <c r="Y56" i="54"/>
  <c r="W56" i="54"/>
  <c r="BF52" i="54"/>
  <c r="BF51" i="54"/>
  <c r="J51" i="54"/>
  <c r="BF50" i="54"/>
  <c r="I50" i="54"/>
  <c r="BF49" i="54"/>
  <c r="BF48" i="54"/>
  <c r="BF47" i="54"/>
  <c r="BF46" i="54"/>
  <c r="BC46" i="54"/>
  <c r="AY45" i="54"/>
  <c r="BA45" i="54" s="1"/>
  <c r="BB45" i="54" s="1"/>
  <c r="BC45" i="54" s="1"/>
  <c r="AX45" i="54"/>
  <c r="AW45" i="54"/>
  <c r="U45" i="54"/>
  <c r="V45" i="54" s="1"/>
  <c r="W45" i="54" s="1"/>
  <c r="X45" i="54" s="1"/>
  <c r="Y45" i="54" s="1"/>
  <c r="Z45" i="54" s="1"/>
  <c r="AA45" i="54" s="1"/>
  <c r="AC45" i="54" s="1"/>
  <c r="AD45" i="54" s="1"/>
  <c r="AD37" i="54"/>
  <c r="AD36" i="54"/>
  <c r="AD34" i="54"/>
  <c r="AD33" i="54"/>
  <c r="AD32" i="54"/>
  <c r="AD31" i="54"/>
  <c r="S29" i="54"/>
  <c r="S28" i="54"/>
  <c r="BF18" i="54"/>
  <c r="BF17" i="54"/>
  <c r="BF16" i="54"/>
  <c r="BF15" i="54"/>
  <c r="BF14" i="54"/>
  <c r="BF13" i="54"/>
  <c r="BF12" i="54"/>
  <c r="BB12" i="54"/>
  <c r="AW12" i="54"/>
  <c r="AU12" i="54"/>
  <c r="Y12" i="54"/>
  <c r="W12" i="54"/>
  <c r="BF8" i="54"/>
  <c r="BF7" i="54"/>
  <c r="J7" i="54"/>
  <c r="BF6" i="54"/>
  <c r="I6" i="54"/>
  <c r="BF5" i="54"/>
  <c r="BF4" i="54"/>
  <c r="AD4" i="54"/>
  <c r="S4" i="54"/>
  <c r="K8" i="54" s="1"/>
  <c r="S8" i="54" s="1"/>
  <c r="BF3" i="54"/>
  <c r="AD3" i="54"/>
  <c r="S3" i="54"/>
  <c r="BF2" i="54"/>
  <c r="BC2" i="54"/>
  <c r="AD2" i="54"/>
  <c r="S2" i="54"/>
  <c r="AN53" i="53"/>
  <c r="AN52" i="53"/>
  <c r="AN51" i="53"/>
  <c r="AN50" i="53"/>
  <c r="AN49" i="53"/>
  <c r="AN48" i="53"/>
  <c r="AN47" i="53"/>
  <c r="AE47" i="53"/>
  <c r="X47" i="53"/>
  <c r="AN46" i="53"/>
  <c r="AK46" i="53"/>
  <c r="AN45" i="53"/>
  <c r="AN44" i="53"/>
  <c r="AN43" i="53"/>
  <c r="AN42" i="53"/>
  <c r="AN41" i="53"/>
  <c r="AK41" i="53"/>
  <c r="W40" i="53"/>
  <c r="X40" i="53" s="1"/>
  <c r="Y40" i="53" s="1"/>
  <c r="Z40" i="53" s="1"/>
  <c r="AB40" i="53" s="1"/>
  <c r="AC40" i="53" s="1"/>
  <c r="AD40" i="53" s="1"/>
  <c r="AE40" i="53" s="1"/>
  <c r="AF40" i="53" s="1"/>
  <c r="AG40" i="53" s="1"/>
  <c r="AI40" i="53" s="1"/>
  <c r="AJ40" i="53" s="1"/>
  <c r="AK40" i="53" s="1"/>
  <c r="V40" i="53"/>
  <c r="U40" i="53"/>
  <c r="AC33" i="53"/>
  <c r="V33" i="53"/>
  <c r="AC32" i="53"/>
  <c r="V32" i="53"/>
  <c r="AC30" i="53"/>
  <c r="V30" i="53"/>
  <c r="AC29" i="53"/>
  <c r="V29" i="53"/>
  <c r="AC28" i="53"/>
  <c r="V28" i="53"/>
  <c r="AC27" i="53"/>
  <c r="V27" i="53"/>
  <c r="S25" i="53"/>
  <c r="S24" i="53"/>
  <c r="AE16" i="53"/>
  <c r="AN13" i="53"/>
  <c r="AN12" i="53"/>
  <c r="AN11" i="53"/>
  <c r="AN10" i="53"/>
  <c r="AN9" i="53"/>
  <c r="AN8" i="53"/>
  <c r="AE8" i="53"/>
  <c r="X8" i="53"/>
  <c r="AN7" i="53"/>
  <c r="AK7" i="53"/>
  <c r="AN6" i="53"/>
  <c r="AN5" i="53"/>
  <c r="I5" i="53"/>
  <c r="AN4" i="53"/>
  <c r="AC4" i="53"/>
  <c r="S4" i="53"/>
  <c r="AN3" i="53"/>
  <c r="AC3" i="53"/>
  <c r="S3" i="53"/>
  <c r="AN2" i="53"/>
  <c r="AK2" i="53"/>
  <c r="AC2" i="53"/>
  <c r="S2" i="53"/>
  <c r="AN53" i="52"/>
  <c r="AN52" i="52"/>
  <c r="AN51" i="52"/>
  <c r="AN50" i="52"/>
  <c r="AN49" i="52"/>
  <c r="AN48" i="52"/>
  <c r="AN47" i="52"/>
  <c r="AE47" i="52"/>
  <c r="X47" i="52"/>
  <c r="AN46" i="52"/>
  <c r="AK46" i="52"/>
  <c r="AN45" i="52"/>
  <c r="AN44" i="52"/>
  <c r="AN43" i="52"/>
  <c r="AN42" i="52"/>
  <c r="AN41" i="52"/>
  <c r="AK41" i="52"/>
  <c r="AC40" i="52"/>
  <c r="AD40" i="52" s="1"/>
  <c r="AE40" i="52" s="1"/>
  <c r="AF40" i="52" s="1"/>
  <c r="AG40" i="52" s="1"/>
  <c r="AI40" i="52" s="1"/>
  <c r="AJ40" i="52" s="1"/>
  <c r="AK40" i="52" s="1"/>
  <c r="X40" i="52"/>
  <c r="Y40" i="52" s="1"/>
  <c r="Z40" i="52" s="1"/>
  <c r="AB40" i="52" s="1"/>
  <c r="U40" i="52"/>
  <c r="V40" i="52" s="1"/>
  <c r="W40" i="52" s="1"/>
  <c r="AC33" i="52"/>
  <c r="V33" i="52"/>
  <c r="AC32" i="52"/>
  <c r="V32" i="52"/>
  <c r="AC30" i="52"/>
  <c r="V30" i="52"/>
  <c r="AC29" i="52"/>
  <c r="V29" i="52"/>
  <c r="AC28" i="52"/>
  <c r="V28" i="52"/>
  <c r="AC27" i="52"/>
  <c r="V27" i="52"/>
  <c r="S25" i="52"/>
  <c r="S24" i="52"/>
  <c r="AE16" i="52"/>
  <c r="AN13" i="52"/>
  <c r="AN12" i="52"/>
  <c r="AN11" i="52"/>
  <c r="AN10" i="52"/>
  <c r="AN9" i="52"/>
  <c r="AN8" i="52"/>
  <c r="AE8" i="52"/>
  <c r="X8" i="52"/>
  <c r="AN7" i="52"/>
  <c r="AK7" i="52"/>
  <c r="AN6" i="52"/>
  <c r="AN5" i="52"/>
  <c r="S5" i="52"/>
  <c r="AN4" i="52"/>
  <c r="AC4" i="52"/>
  <c r="S4" i="52"/>
  <c r="I5" i="52" s="1"/>
  <c r="J6" i="52" s="1"/>
  <c r="AN3" i="52"/>
  <c r="AC3" i="52"/>
  <c r="S3" i="52"/>
  <c r="AN2" i="52"/>
  <c r="AK2" i="52"/>
  <c r="AC2" i="52"/>
  <c r="S2" i="52"/>
  <c r="BF63" i="51"/>
  <c r="BF62" i="51"/>
  <c r="BF61" i="51"/>
  <c r="BF60" i="51"/>
  <c r="BF59" i="51"/>
  <c r="BF58" i="51"/>
  <c r="BF57" i="51"/>
  <c r="BF56" i="51"/>
  <c r="BB56" i="51"/>
  <c r="AW56" i="51"/>
  <c r="AU56" i="51"/>
  <c r="Y56" i="51"/>
  <c r="W56" i="51"/>
  <c r="BF52" i="51"/>
  <c r="BF51" i="51"/>
  <c r="J51" i="51"/>
  <c r="BF50" i="51"/>
  <c r="I50" i="51"/>
  <c r="BF49" i="51"/>
  <c r="BF48" i="51"/>
  <c r="BF47" i="51"/>
  <c r="BF46" i="51"/>
  <c r="BC46" i="51"/>
  <c r="AW45" i="51"/>
  <c r="AX45" i="51" s="1"/>
  <c r="AY45" i="51" s="1"/>
  <c r="BA45" i="51" s="1"/>
  <c r="BB45" i="51" s="1"/>
  <c r="BC45" i="51" s="1"/>
  <c r="V45" i="51"/>
  <c r="W45" i="51" s="1"/>
  <c r="X45" i="51" s="1"/>
  <c r="Y45" i="51" s="1"/>
  <c r="Z45" i="51" s="1"/>
  <c r="AA45" i="51" s="1"/>
  <c r="AC45" i="51" s="1"/>
  <c r="AD45" i="51" s="1"/>
  <c r="U45" i="51"/>
  <c r="AD37" i="51"/>
  <c r="AD36" i="51"/>
  <c r="AD34" i="51"/>
  <c r="AD33" i="51"/>
  <c r="AD32" i="51"/>
  <c r="AD31" i="51"/>
  <c r="S29" i="51"/>
  <c r="S28" i="51"/>
  <c r="BF18" i="51"/>
  <c r="BF17" i="51"/>
  <c r="BF16" i="51"/>
  <c r="BF15" i="51"/>
  <c r="BF14" i="51"/>
  <c r="BF13" i="51"/>
  <c r="BF12" i="51"/>
  <c r="BB12" i="51"/>
  <c r="AW12" i="51"/>
  <c r="AU12" i="51"/>
  <c r="Y12" i="51"/>
  <c r="W12" i="51"/>
  <c r="BF8" i="51"/>
  <c r="BF7" i="51"/>
  <c r="J7" i="51"/>
  <c r="BF6" i="51"/>
  <c r="I6" i="51"/>
  <c r="BF5" i="51"/>
  <c r="BF4" i="51"/>
  <c r="AD4" i="51"/>
  <c r="S4" i="51"/>
  <c r="K8" i="51" s="1"/>
  <c r="S8" i="51" s="1"/>
  <c r="BF3" i="51"/>
  <c r="AD3" i="51"/>
  <c r="S3" i="51"/>
  <c r="BF2" i="51"/>
  <c r="BC2" i="51"/>
  <c r="AD2" i="51"/>
  <c r="S2" i="51"/>
  <c r="AN53" i="50"/>
  <c r="AN52" i="50"/>
  <c r="AN51" i="50"/>
  <c r="AN50" i="50"/>
  <c r="AN49" i="50"/>
  <c r="AN48" i="50"/>
  <c r="AN47" i="50"/>
  <c r="AE47" i="50"/>
  <c r="X47" i="50"/>
  <c r="AN46" i="50"/>
  <c r="AK46" i="50"/>
  <c r="AN45" i="50"/>
  <c r="AN44" i="50"/>
  <c r="AN43" i="50"/>
  <c r="AN42" i="50"/>
  <c r="AN41" i="50"/>
  <c r="AK41" i="50"/>
  <c r="U40" i="50"/>
  <c r="V40" i="50" s="1"/>
  <c r="W40" i="50" s="1"/>
  <c r="X40" i="50" s="1"/>
  <c r="Y40" i="50" s="1"/>
  <c r="Z40" i="50" s="1"/>
  <c r="AB40" i="50" s="1"/>
  <c r="AC40" i="50" s="1"/>
  <c r="AD40" i="50" s="1"/>
  <c r="AE40" i="50" s="1"/>
  <c r="AF40" i="50" s="1"/>
  <c r="AG40" i="50" s="1"/>
  <c r="AI40" i="50" s="1"/>
  <c r="AJ40" i="50" s="1"/>
  <c r="AK40" i="50" s="1"/>
  <c r="AC33" i="50"/>
  <c r="V33" i="50"/>
  <c r="AC32" i="50"/>
  <c r="V32" i="50"/>
  <c r="AC30" i="50"/>
  <c r="V30" i="50"/>
  <c r="AC29" i="50"/>
  <c r="V29" i="50"/>
  <c r="AC28" i="50"/>
  <c r="V28" i="50"/>
  <c r="AC27" i="50"/>
  <c r="V27" i="50"/>
  <c r="S25" i="50"/>
  <c r="S24" i="50"/>
  <c r="AE16" i="50"/>
  <c r="AN13" i="50"/>
  <c r="AN12" i="50"/>
  <c r="AN11" i="50"/>
  <c r="AN10" i="50"/>
  <c r="AN9" i="50"/>
  <c r="AN8" i="50"/>
  <c r="AE8" i="50"/>
  <c r="X8" i="50"/>
  <c r="AN7" i="50"/>
  <c r="AK7" i="50"/>
  <c r="AN6" i="50"/>
  <c r="AN5" i="50"/>
  <c r="AN4" i="50"/>
  <c r="AC4" i="50"/>
  <c r="S4" i="50"/>
  <c r="I5" i="50" s="1"/>
  <c r="AN3" i="50"/>
  <c r="AC3" i="50"/>
  <c r="S3" i="50"/>
  <c r="AN2" i="50"/>
  <c r="AK2" i="50"/>
  <c r="AC2" i="50"/>
  <c r="S2" i="50"/>
  <c r="AN53" i="49"/>
  <c r="AN52" i="49"/>
  <c r="AN51" i="49"/>
  <c r="AN50" i="49"/>
  <c r="AN49" i="49"/>
  <c r="AN48" i="49"/>
  <c r="AN47" i="49"/>
  <c r="AE47" i="49"/>
  <c r="X47" i="49"/>
  <c r="AN46" i="49"/>
  <c r="AK46" i="49"/>
  <c r="AN45" i="49"/>
  <c r="AN44" i="49"/>
  <c r="AN43" i="49"/>
  <c r="AN42" i="49"/>
  <c r="AN41" i="49"/>
  <c r="AK41" i="49"/>
  <c r="V40" i="49"/>
  <c r="W40" i="49" s="1"/>
  <c r="X40" i="49" s="1"/>
  <c r="Y40" i="49" s="1"/>
  <c r="Z40" i="49" s="1"/>
  <c r="AB40" i="49" s="1"/>
  <c r="AC40" i="49" s="1"/>
  <c r="AD40" i="49" s="1"/>
  <c r="AE40" i="49" s="1"/>
  <c r="AF40" i="49" s="1"/>
  <c r="AG40" i="49" s="1"/>
  <c r="AI40" i="49" s="1"/>
  <c r="AJ40" i="49" s="1"/>
  <c r="AK40" i="49" s="1"/>
  <c r="U40" i="49"/>
  <c r="AC33" i="49"/>
  <c r="V33" i="49"/>
  <c r="AC32" i="49"/>
  <c r="V32" i="49"/>
  <c r="AC30" i="49"/>
  <c r="V30" i="49"/>
  <c r="AC29" i="49"/>
  <c r="V29" i="49"/>
  <c r="AC28" i="49"/>
  <c r="V28" i="49"/>
  <c r="AC27" i="49"/>
  <c r="V27" i="49"/>
  <c r="S25" i="49"/>
  <c r="S24" i="49"/>
  <c r="AE16" i="49"/>
  <c r="AN13" i="49"/>
  <c r="AN12" i="49"/>
  <c r="AN11" i="49"/>
  <c r="AN10" i="49"/>
  <c r="AN9" i="49"/>
  <c r="AN8" i="49"/>
  <c r="AE8" i="49"/>
  <c r="X8" i="49"/>
  <c r="AN7" i="49"/>
  <c r="AK7" i="49"/>
  <c r="AN6" i="49"/>
  <c r="AN5" i="49"/>
  <c r="AN4" i="49"/>
  <c r="AC4" i="49"/>
  <c r="S4" i="49"/>
  <c r="I5" i="49" s="1"/>
  <c r="S5" i="49" s="1"/>
  <c r="AN3" i="49"/>
  <c r="AC3" i="49"/>
  <c r="S3" i="49"/>
  <c r="AN2" i="49"/>
  <c r="AK2" i="49"/>
  <c r="AC2" i="49"/>
  <c r="S2" i="49"/>
  <c r="F6" i="48"/>
  <c r="H57" i="47"/>
  <c r="H56" i="47"/>
  <c r="H55" i="47"/>
  <c r="I54" i="47"/>
  <c r="H54" i="47" s="1"/>
  <c r="H53" i="47"/>
  <c r="H52" i="47"/>
  <c r="H51" i="47"/>
  <c r="H50" i="47"/>
  <c r="I49" i="47"/>
  <c r="H49" i="47"/>
  <c r="I48" i="47"/>
  <c r="H48" i="47" s="1"/>
  <c r="H47" i="47"/>
  <c r="H46" i="47"/>
  <c r="H45" i="47"/>
  <c r="I44" i="47"/>
  <c r="H44" i="47" s="1"/>
  <c r="H43" i="47"/>
  <c r="H42" i="47"/>
  <c r="H41" i="47"/>
  <c r="H40" i="47"/>
  <c r="I39" i="47"/>
  <c r="H35" i="47"/>
  <c r="H34" i="47"/>
  <c r="H33" i="47"/>
  <c r="I32" i="47"/>
  <c r="H32" i="47" s="1"/>
  <c r="H31" i="47"/>
  <c r="H30" i="47"/>
  <c r="H29" i="47"/>
  <c r="I28" i="47"/>
  <c r="H28" i="47" s="1"/>
  <c r="H27" i="47"/>
  <c r="H26" i="47"/>
  <c r="H25" i="47"/>
  <c r="H24" i="47"/>
  <c r="H23" i="47"/>
  <c r="H22" i="47"/>
  <c r="H21" i="47"/>
  <c r="H20" i="47"/>
  <c r="H19" i="47"/>
  <c r="H18" i="47"/>
  <c r="H17" i="47"/>
  <c r="H16" i="47"/>
  <c r="I15" i="47"/>
  <c r="H11" i="47"/>
  <c r="F6" i="47"/>
  <c r="F6" i="46"/>
  <c r="H15" i="45"/>
  <c r="F6" i="45"/>
  <c r="L12" i="44"/>
  <c r="K12" i="44"/>
  <c r="J12" i="44"/>
  <c r="I12" i="44"/>
  <c r="H12" i="44"/>
  <c r="G12" i="44"/>
  <c r="G9" i="44"/>
  <c r="G8" i="44"/>
  <c r="G7" i="44"/>
  <c r="D4" i="44"/>
  <c r="E28" i="43"/>
  <c r="K27" i="43"/>
  <c r="J27" i="43"/>
  <c r="I27" i="43"/>
  <c r="H27" i="43"/>
  <c r="K16" i="43"/>
  <c r="J16" i="43"/>
  <c r="I16" i="43"/>
  <c r="H16" i="43"/>
  <c r="K12" i="43"/>
  <c r="H12" i="43"/>
  <c r="K11" i="43"/>
  <c r="H11" i="43"/>
  <c r="K10" i="43"/>
  <c r="H10" i="43"/>
  <c r="E7" i="43"/>
  <c r="E33" i="42"/>
  <c r="K32" i="42"/>
  <c r="J32" i="42"/>
  <c r="I32" i="42"/>
  <c r="H32" i="42"/>
  <c r="K16" i="42"/>
  <c r="J16" i="42"/>
  <c r="I16" i="42"/>
  <c r="H16" i="42"/>
  <c r="K12" i="42"/>
  <c r="H12" i="42"/>
  <c r="K11" i="42"/>
  <c r="H11" i="42"/>
  <c r="K10" i="42"/>
  <c r="H10" i="42"/>
  <c r="E7" i="42"/>
  <c r="Q29" i="41"/>
  <c r="Q26" i="41"/>
  <c r="V20" i="41"/>
  <c r="Q20" i="41"/>
  <c r="V17" i="41"/>
  <c r="Q17" i="41"/>
  <c r="E6" i="41"/>
  <c r="K87" i="40"/>
  <c r="J87" i="40"/>
  <c r="I87" i="40"/>
  <c r="H87" i="40"/>
  <c r="K69" i="40"/>
  <c r="J69" i="40"/>
  <c r="I69" i="40"/>
  <c r="H69" i="40"/>
  <c r="M68" i="40"/>
  <c r="M66" i="40"/>
  <c r="L40" i="40"/>
  <c r="L39" i="40"/>
  <c r="L38" i="40"/>
  <c r="L37" i="40"/>
  <c r="L36" i="40"/>
  <c r="L35" i="40"/>
  <c r="L34" i="40"/>
  <c r="K33" i="40"/>
  <c r="J33" i="40"/>
  <c r="I33" i="40"/>
  <c r="H33" i="40"/>
  <c r="K27" i="40"/>
  <c r="H27" i="40"/>
  <c r="K26" i="40"/>
  <c r="H26" i="40"/>
  <c r="K25" i="40"/>
  <c r="H25" i="40"/>
  <c r="E22" i="40"/>
  <c r="E7" i="40"/>
  <c r="E6" i="40"/>
  <c r="E5" i="40"/>
  <c r="E4" i="40"/>
  <c r="K3" i="40"/>
  <c r="J3" i="40"/>
  <c r="I3" i="40"/>
  <c r="H3" i="40"/>
  <c r="E2" i="40"/>
  <c r="BF63" i="39"/>
  <c r="BF62" i="39"/>
  <c r="BF61" i="39"/>
  <c r="BF60" i="39"/>
  <c r="BF59" i="39"/>
  <c r="BF58" i="39"/>
  <c r="BF57" i="39"/>
  <c r="BF56" i="39"/>
  <c r="BB56" i="39"/>
  <c r="AW56" i="39"/>
  <c r="AU56" i="39"/>
  <c r="Y56" i="39"/>
  <c r="W56" i="39"/>
  <c r="BF52" i="39"/>
  <c r="BF51" i="39"/>
  <c r="J51" i="39"/>
  <c r="BF50" i="39"/>
  <c r="I50" i="39"/>
  <c r="BF49" i="39"/>
  <c r="BF48" i="39"/>
  <c r="BF47" i="39"/>
  <c r="BF46" i="39"/>
  <c r="BC46" i="39"/>
  <c r="AX45" i="39"/>
  <c r="AY45" i="39" s="1"/>
  <c r="BA45" i="39" s="1"/>
  <c r="BB45" i="39" s="1"/>
  <c r="BC45" i="39" s="1"/>
  <c r="AW45" i="39"/>
  <c r="U45" i="39"/>
  <c r="V45" i="39" s="1"/>
  <c r="W45" i="39" s="1"/>
  <c r="X45" i="39" s="1"/>
  <c r="Y45" i="39" s="1"/>
  <c r="Z45" i="39" s="1"/>
  <c r="AA45" i="39" s="1"/>
  <c r="AC45" i="39" s="1"/>
  <c r="AD45" i="39" s="1"/>
  <c r="AD37" i="39"/>
  <c r="AD36" i="39"/>
  <c r="AD34" i="39"/>
  <c r="AD33" i="39"/>
  <c r="AD32" i="39"/>
  <c r="AD31" i="39"/>
  <c r="S29" i="39"/>
  <c r="S28" i="39"/>
  <c r="BF18" i="39"/>
  <c r="BF17" i="39"/>
  <c r="BF16" i="39"/>
  <c r="BF15" i="39"/>
  <c r="BF14" i="39"/>
  <c r="BF13" i="39"/>
  <c r="BF12" i="39"/>
  <c r="BB12" i="39"/>
  <c r="AW12" i="39"/>
  <c r="AU12" i="39"/>
  <c r="Y12" i="39"/>
  <c r="W12" i="39"/>
  <c r="BF8" i="39"/>
  <c r="BF7" i="39"/>
  <c r="J7" i="39"/>
  <c r="BF6" i="39"/>
  <c r="I6" i="39"/>
  <c r="BF5" i="39"/>
  <c r="BF4" i="39"/>
  <c r="AD4" i="39"/>
  <c r="S4" i="39"/>
  <c r="K8" i="39" s="1"/>
  <c r="S8" i="39" s="1"/>
  <c r="BF3" i="39"/>
  <c r="AD3" i="39"/>
  <c r="S3" i="39"/>
  <c r="BF2" i="39"/>
  <c r="BC2" i="39"/>
  <c r="AD2" i="39"/>
  <c r="S2" i="39"/>
  <c r="AN53" i="38"/>
  <c r="AN52" i="38"/>
  <c r="AN51" i="38"/>
  <c r="AN50" i="38"/>
  <c r="AN49" i="38"/>
  <c r="AN48" i="38"/>
  <c r="AN47" i="38"/>
  <c r="AE47" i="38"/>
  <c r="X47" i="38"/>
  <c r="AN46" i="38"/>
  <c r="AK46" i="38"/>
  <c r="AN45" i="38"/>
  <c r="AN44" i="38"/>
  <c r="AN43" i="38"/>
  <c r="AN42" i="38"/>
  <c r="AN41" i="38"/>
  <c r="AK41" i="38"/>
  <c r="AJ40" i="38"/>
  <c r="AK40" i="38" s="1"/>
  <c r="V40" i="38"/>
  <c r="W40" i="38" s="1"/>
  <c r="X40" i="38" s="1"/>
  <c r="Y40" i="38" s="1"/>
  <c r="Z40" i="38" s="1"/>
  <c r="AB40" i="38" s="1"/>
  <c r="AC40" i="38" s="1"/>
  <c r="AD40" i="38" s="1"/>
  <c r="AE40" i="38" s="1"/>
  <c r="AF40" i="38" s="1"/>
  <c r="AG40" i="38" s="1"/>
  <c r="AI40" i="38" s="1"/>
  <c r="U40" i="38"/>
  <c r="AC33" i="38"/>
  <c r="V33" i="38"/>
  <c r="AC32" i="38"/>
  <c r="V32" i="38"/>
  <c r="AC30" i="38"/>
  <c r="V30" i="38"/>
  <c r="AC29" i="38"/>
  <c r="V29" i="38"/>
  <c r="AC28" i="38"/>
  <c r="V28" i="38"/>
  <c r="AC27" i="38"/>
  <c r="V27" i="38"/>
  <c r="S25" i="38"/>
  <c r="S24" i="38"/>
  <c r="AE16" i="38"/>
  <c r="AN13" i="38"/>
  <c r="AN12" i="38"/>
  <c r="AN11" i="38"/>
  <c r="AN10" i="38"/>
  <c r="AN9" i="38"/>
  <c r="AN8" i="38"/>
  <c r="AE8" i="38"/>
  <c r="X8" i="38"/>
  <c r="AN7" i="38"/>
  <c r="AK7" i="38"/>
  <c r="AN6" i="38"/>
  <c r="J6" i="38"/>
  <c r="AN5" i="38"/>
  <c r="I5" i="38"/>
  <c r="S5" i="38" s="1"/>
  <c r="AN4" i="38"/>
  <c r="AC4" i="38"/>
  <c r="S4" i="38"/>
  <c r="AN3" i="38"/>
  <c r="AC3" i="38"/>
  <c r="S3" i="38"/>
  <c r="AN2" i="38"/>
  <c r="AK2" i="38"/>
  <c r="AC2" i="38"/>
  <c r="S2" i="38"/>
  <c r="AN53" i="37"/>
  <c r="AN52" i="37"/>
  <c r="AN51" i="37"/>
  <c r="AN50" i="37"/>
  <c r="AN49" i="37"/>
  <c r="AN48" i="37"/>
  <c r="AN47" i="37"/>
  <c r="AE47" i="37"/>
  <c r="X47" i="37"/>
  <c r="AN46" i="37"/>
  <c r="AK46" i="37"/>
  <c r="AN45" i="37"/>
  <c r="AN44" i="37"/>
  <c r="AN43" i="37"/>
  <c r="AN42" i="37"/>
  <c r="AN41" i="37"/>
  <c r="AK41" i="37"/>
  <c r="W40" i="37"/>
  <c r="X40" i="37" s="1"/>
  <c r="Y40" i="37" s="1"/>
  <c r="Z40" i="37" s="1"/>
  <c r="AB40" i="37" s="1"/>
  <c r="AC40" i="37" s="1"/>
  <c r="AD40" i="37" s="1"/>
  <c r="AE40" i="37" s="1"/>
  <c r="AF40" i="37" s="1"/>
  <c r="AG40" i="37" s="1"/>
  <c r="AI40" i="37" s="1"/>
  <c r="AJ40" i="37" s="1"/>
  <c r="AK40" i="37" s="1"/>
  <c r="V40" i="37"/>
  <c r="U40" i="37"/>
  <c r="AC33" i="37"/>
  <c r="V33" i="37"/>
  <c r="AC32" i="37"/>
  <c r="V32" i="37"/>
  <c r="AC30" i="37"/>
  <c r="V30" i="37"/>
  <c r="AC29" i="37"/>
  <c r="V29" i="37"/>
  <c r="AC28" i="37"/>
  <c r="V28" i="37"/>
  <c r="AC27" i="37"/>
  <c r="V27" i="37"/>
  <c r="S25" i="37"/>
  <c r="S24" i="37"/>
  <c r="AE16" i="37"/>
  <c r="AN13" i="37"/>
  <c r="AN12" i="37"/>
  <c r="AN11" i="37"/>
  <c r="AN10" i="37"/>
  <c r="AN9" i="37"/>
  <c r="AN8" i="37"/>
  <c r="AE8" i="37"/>
  <c r="X8" i="37"/>
  <c r="AN7" i="37"/>
  <c r="AK7" i="37"/>
  <c r="AN6" i="37"/>
  <c r="AN5" i="37"/>
  <c r="I5" i="37"/>
  <c r="AN4" i="37"/>
  <c r="AC4" i="37"/>
  <c r="S4" i="37"/>
  <c r="AN3" i="37"/>
  <c r="AC3" i="37"/>
  <c r="S3" i="37"/>
  <c r="AN2" i="37"/>
  <c r="AK2" i="37"/>
  <c r="AC2" i="37"/>
  <c r="S2" i="37"/>
  <c r="AN53" i="36"/>
  <c r="AN52" i="36"/>
  <c r="AN51" i="36"/>
  <c r="AN50" i="36"/>
  <c r="AN49" i="36"/>
  <c r="AN48" i="36"/>
  <c r="AN47" i="36"/>
  <c r="AE47" i="36"/>
  <c r="X47" i="36"/>
  <c r="AN46" i="36"/>
  <c r="AK46" i="36"/>
  <c r="AN45" i="36"/>
  <c r="AN44" i="36"/>
  <c r="AN43" i="36"/>
  <c r="AN42" i="36"/>
  <c r="AN41" i="36"/>
  <c r="AK41" i="36"/>
  <c r="AD40" i="36"/>
  <c r="AE40" i="36" s="1"/>
  <c r="AF40" i="36" s="1"/>
  <c r="AG40" i="36" s="1"/>
  <c r="AI40" i="36" s="1"/>
  <c r="AJ40" i="36" s="1"/>
  <c r="AK40" i="36" s="1"/>
  <c r="Y40" i="36"/>
  <c r="Z40" i="36" s="1"/>
  <c r="AB40" i="36" s="1"/>
  <c r="AC40" i="36" s="1"/>
  <c r="U40" i="36"/>
  <c r="V40" i="36" s="1"/>
  <c r="W40" i="36" s="1"/>
  <c r="X40" i="36" s="1"/>
  <c r="AC33" i="36"/>
  <c r="V33" i="36"/>
  <c r="AC32" i="36"/>
  <c r="V32" i="36"/>
  <c r="AC30" i="36"/>
  <c r="V30" i="36"/>
  <c r="AC29" i="36"/>
  <c r="V29" i="36"/>
  <c r="AC28" i="36"/>
  <c r="V28" i="36"/>
  <c r="AC27" i="36"/>
  <c r="V27" i="36"/>
  <c r="S25" i="36"/>
  <c r="S24" i="36"/>
  <c r="AE16" i="36"/>
  <c r="AN13" i="36"/>
  <c r="AN12" i="36"/>
  <c r="AN11" i="36"/>
  <c r="AN10" i="36"/>
  <c r="AN9" i="36"/>
  <c r="AN8" i="36"/>
  <c r="AE8" i="36"/>
  <c r="X8" i="36"/>
  <c r="AN7" i="36"/>
  <c r="AK7" i="36"/>
  <c r="K7" i="36"/>
  <c r="S7" i="36" s="1"/>
  <c r="AN6" i="36"/>
  <c r="J6" i="36"/>
  <c r="S6" i="36" s="1"/>
  <c r="AN5" i="36"/>
  <c r="I5" i="36"/>
  <c r="S5" i="36" s="1"/>
  <c r="AN4" i="36"/>
  <c r="AC4" i="36"/>
  <c r="S4" i="36"/>
  <c r="AN3" i="36"/>
  <c r="AC3" i="36"/>
  <c r="S3" i="36"/>
  <c r="AN2" i="36"/>
  <c r="AK2" i="36"/>
  <c r="AC2" i="36"/>
  <c r="S2" i="36"/>
  <c r="AN53" i="35"/>
  <c r="AN52" i="35"/>
  <c r="AN51" i="35"/>
  <c r="AN50" i="35"/>
  <c r="AN49" i="35"/>
  <c r="AN48" i="35"/>
  <c r="AN47" i="35"/>
  <c r="AE47" i="35"/>
  <c r="X47" i="35"/>
  <c r="AN46" i="35"/>
  <c r="AK46" i="35"/>
  <c r="AN45" i="35"/>
  <c r="AN44" i="35"/>
  <c r="AN43" i="35"/>
  <c r="AN42" i="35"/>
  <c r="AN41" i="35"/>
  <c r="AK41" i="35"/>
  <c r="Z40" i="35"/>
  <c r="AB40" i="35" s="1"/>
  <c r="AC40" i="35" s="1"/>
  <c r="AD40" i="35" s="1"/>
  <c r="AE40" i="35" s="1"/>
  <c r="AF40" i="35" s="1"/>
  <c r="AG40" i="35" s="1"/>
  <c r="AI40" i="35" s="1"/>
  <c r="AJ40" i="35" s="1"/>
  <c r="AK40" i="35" s="1"/>
  <c r="V40" i="35"/>
  <c r="W40" i="35" s="1"/>
  <c r="X40" i="35" s="1"/>
  <c r="Y40" i="35" s="1"/>
  <c r="U40" i="35"/>
  <c r="AC33" i="35"/>
  <c r="V33" i="35"/>
  <c r="AC32" i="35"/>
  <c r="V32" i="35"/>
  <c r="AC30" i="35"/>
  <c r="V30" i="35"/>
  <c r="AC29" i="35"/>
  <c r="V29" i="35"/>
  <c r="AC28" i="35"/>
  <c r="V28" i="35"/>
  <c r="AC27" i="35"/>
  <c r="V27" i="35"/>
  <c r="S25" i="35"/>
  <c r="S24" i="35"/>
  <c r="AE16" i="35"/>
  <c r="AN13" i="35"/>
  <c r="AN12" i="35"/>
  <c r="AN11" i="35"/>
  <c r="AN10" i="35"/>
  <c r="AN9" i="35"/>
  <c r="AN8" i="35"/>
  <c r="AE8" i="35"/>
  <c r="X8" i="35"/>
  <c r="AN7" i="35"/>
  <c r="AK7" i="35"/>
  <c r="AN6" i="35"/>
  <c r="J6" i="35"/>
  <c r="AN5" i="35"/>
  <c r="I5" i="35"/>
  <c r="S5" i="35" s="1"/>
  <c r="AN4" i="35"/>
  <c r="AC4" i="35"/>
  <c r="S4" i="35"/>
  <c r="AN3" i="35"/>
  <c r="AC3" i="35"/>
  <c r="S3" i="35"/>
  <c r="AN2" i="35"/>
  <c r="AK2" i="35"/>
  <c r="AC2" i="35"/>
  <c r="S2" i="35"/>
  <c r="E175" i="34"/>
  <c r="E136" i="34"/>
  <c r="E97" i="34"/>
  <c r="F22" i="34"/>
  <c r="E17" i="34"/>
  <c r="F11" i="34"/>
  <c r="E11" i="34"/>
  <c r="F10" i="34"/>
  <c r="E10" i="34"/>
  <c r="G28" i="33"/>
  <c r="G27" i="33"/>
  <c r="G26" i="33"/>
  <c r="D23" i="33"/>
  <c r="D14" i="33"/>
  <c r="D13" i="33"/>
  <c r="D11" i="33"/>
  <c r="D10" i="33"/>
  <c r="D9" i="33"/>
  <c r="D7" i="33"/>
  <c r="D6" i="33"/>
  <c r="D4" i="33"/>
  <c r="D3" i="33"/>
  <c r="F21" i="32"/>
  <c r="I19" i="32"/>
  <c r="H19" i="32"/>
  <c r="G19" i="32"/>
  <c r="F19" i="32"/>
  <c r="I14" i="32"/>
  <c r="H14" i="32"/>
  <c r="G14" i="32"/>
  <c r="G11" i="32"/>
  <c r="G10" i="32"/>
  <c r="G9" i="32"/>
  <c r="D6" i="32"/>
  <c r="F2" i="32"/>
  <c r="K14" i="31"/>
  <c r="I14" i="31"/>
  <c r="G14" i="31"/>
  <c r="G11" i="31"/>
  <c r="G10" i="31"/>
  <c r="G9" i="31"/>
  <c r="D6" i="31"/>
  <c r="E13" i="29"/>
  <c r="H12" i="29"/>
  <c r="E12" i="29"/>
  <c r="D6" i="29"/>
  <c r="D15" i="28"/>
  <c r="R24" i="27"/>
  <c r="R18" i="27"/>
  <c r="S18" i="27" s="1"/>
  <c r="T18" i="27" s="1"/>
  <c r="V18" i="27" s="1"/>
  <c r="X18" i="27" s="1"/>
  <c r="O18" i="27"/>
  <c r="P18" i="27" s="1"/>
  <c r="Q18" i="27" s="1"/>
  <c r="O10" i="27"/>
  <c r="O9" i="27"/>
  <c r="O8" i="27"/>
  <c r="O7" i="27"/>
  <c r="AA32" i="26"/>
  <c r="AA31" i="26"/>
  <c r="AA30" i="26"/>
  <c r="AA29" i="26"/>
  <c r="AA28" i="26"/>
  <c r="AA27" i="26"/>
  <c r="AA26" i="26"/>
  <c r="R26" i="26"/>
  <c r="AA25" i="26"/>
  <c r="AA24" i="26"/>
  <c r="AA23" i="26"/>
  <c r="AA22" i="26"/>
  <c r="O22" i="26"/>
  <c r="L22" i="26"/>
  <c r="F23" i="26" s="1"/>
  <c r="G24" i="26" s="1"/>
  <c r="AA21" i="26"/>
  <c r="O21" i="26"/>
  <c r="L21" i="26"/>
  <c r="AA20" i="26"/>
  <c r="O20" i="26"/>
  <c r="L20" i="26"/>
  <c r="AA19" i="26"/>
  <c r="O19" i="26"/>
  <c r="L19" i="26"/>
  <c r="Q18" i="26"/>
  <c r="R18" i="26" s="1"/>
  <c r="S18" i="26" s="1"/>
  <c r="T18" i="26" s="1"/>
  <c r="V18" i="26" s="1"/>
  <c r="W18" i="26" s="1"/>
  <c r="X18" i="26" s="1"/>
  <c r="O18" i="26"/>
  <c r="N18" i="26"/>
  <c r="O11" i="26"/>
  <c r="O10" i="26"/>
  <c r="O9" i="26"/>
  <c r="O8" i="26"/>
  <c r="L6" i="26"/>
  <c r="AA32" i="25"/>
  <c r="AA31" i="25"/>
  <c r="AA30" i="25"/>
  <c r="AA29" i="25"/>
  <c r="AA28" i="25"/>
  <c r="AA27" i="25"/>
  <c r="AA26" i="25"/>
  <c r="R26" i="25"/>
  <c r="AA25" i="25"/>
  <c r="AA24" i="25"/>
  <c r="AA23" i="25"/>
  <c r="AA22" i="25"/>
  <c r="O22" i="25"/>
  <c r="L22" i="25"/>
  <c r="F23" i="25" s="1"/>
  <c r="G24" i="25" s="1"/>
  <c r="AA21" i="25"/>
  <c r="O21" i="25"/>
  <c r="L21" i="25"/>
  <c r="AA20" i="25"/>
  <c r="O20" i="25"/>
  <c r="L20" i="25"/>
  <c r="AA19" i="25"/>
  <c r="O19" i="25"/>
  <c r="L19" i="25"/>
  <c r="Q18" i="25"/>
  <c r="R18" i="25" s="1"/>
  <c r="S18" i="25" s="1"/>
  <c r="T18" i="25" s="1"/>
  <c r="V18" i="25" s="1"/>
  <c r="W18" i="25" s="1"/>
  <c r="X18" i="25" s="1"/>
  <c r="O18" i="25"/>
  <c r="N18" i="25"/>
  <c r="O11" i="25"/>
  <c r="O10" i="25"/>
  <c r="O9" i="25"/>
  <c r="O8" i="25"/>
  <c r="L6" i="25"/>
  <c r="AA32" i="24"/>
  <c r="AA31" i="24"/>
  <c r="AA30" i="24"/>
  <c r="AA29" i="24"/>
  <c r="AA28" i="24"/>
  <c r="AA27" i="24"/>
  <c r="AA26" i="24"/>
  <c r="R26" i="24"/>
  <c r="AA25" i="24"/>
  <c r="AA24" i="24"/>
  <c r="AA23" i="24"/>
  <c r="AA22" i="24"/>
  <c r="AA21" i="24"/>
  <c r="AA20" i="24"/>
  <c r="AA19" i="24"/>
  <c r="Q18" i="24"/>
  <c r="R18" i="24" s="1"/>
  <c r="S18" i="24" s="1"/>
  <c r="T18" i="24" s="1"/>
  <c r="V18" i="24" s="1"/>
  <c r="W18" i="24" s="1"/>
  <c r="X18" i="24" s="1"/>
  <c r="O18" i="24"/>
  <c r="N18" i="24"/>
  <c r="O11" i="24"/>
  <c r="O10" i="24"/>
  <c r="O9" i="24"/>
  <c r="O8" i="24"/>
  <c r="L6" i="24"/>
  <c r="M101" i="23"/>
  <c r="F130" i="40" s="1"/>
  <c r="L101" i="23"/>
  <c r="E130" i="40" s="1"/>
  <c r="K101" i="23"/>
  <c r="N101" i="23" s="1"/>
  <c r="J101" i="23"/>
  <c r="I101" i="23"/>
  <c r="N100" i="23"/>
  <c r="K100" i="23"/>
  <c r="J100" i="23"/>
  <c r="M100" i="23" s="1"/>
  <c r="F129" i="40" s="1"/>
  <c r="I100" i="23"/>
  <c r="L100" i="23" s="1"/>
  <c r="E129" i="40" s="1"/>
  <c r="M99" i="23"/>
  <c r="F128" i="40" s="1"/>
  <c r="L99" i="23"/>
  <c r="E128" i="40" s="1"/>
  <c r="K99" i="23"/>
  <c r="N99" i="23" s="1"/>
  <c r="J99" i="23"/>
  <c r="I99" i="23"/>
  <c r="N98" i="23"/>
  <c r="K98" i="23"/>
  <c r="J98" i="23"/>
  <c r="M98" i="23" s="1"/>
  <c r="F127" i="40" s="1"/>
  <c r="I98" i="23"/>
  <c r="L98" i="23" s="1"/>
  <c r="E127" i="40" s="1"/>
  <c r="M97" i="23"/>
  <c r="F126" i="40" s="1"/>
  <c r="L97" i="23"/>
  <c r="E126" i="40" s="1"/>
  <c r="K97" i="23"/>
  <c r="N97" i="23" s="1"/>
  <c r="J97" i="23"/>
  <c r="I97" i="23"/>
  <c r="N96" i="23"/>
  <c r="K96" i="23"/>
  <c r="J96" i="23"/>
  <c r="M96" i="23" s="1"/>
  <c r="F123" i="40" s="1"/>
  <c r="I96" i="23"/>
  <c r="L96" i="23" s="1"/>
  <c r="E123" i="40" s="1"/>
  <c r="E124" i="40" s="1"/>
  <c r="M95" i="23"/>
  <c r="F120" i="40" s="1"/>
  <c r="L95" i="23"/>
  <c r="E120" i="40" s="1"/>
  <c r="E121" i="40" s="1"/>
  <c r="K95" i="23"/>
  <c r="N95" i="23" s="1"/>
  <c r="J95" i="23"/>
  <c r="I95" i="23"/>
  <c r="N94" i="23"/>
  <c r="K94" i="23"/>
  <c r="J94" i="23"/>
  <c r="M94" i="23" s="1"/>
  <c r="F117" i="40" s="1"/>
  <c r="I94" i="23"/>
  <c r="L94" i="23" s="1"/>
  <c r="E117" i="40" s="1"/>
  <c r="E118" i="40" s="1"/>
  <c r="M93" i="23"/>
  <c r="F116" i="40" s="1"/>
  <c r="L93" i="23"/>
  <c r="E116" i="40" s="1"/>
  <c r="K93" i="23"/>
  <c r="N93" i="23" s="1"/>
  <c r="J93" i="23"/>
  <c r="I93" i="23"/>
  <c r="N92" i="23"/>
  <c r="K92" i="23"/>
  <c r="J92" i="23"/>
  <c r="M92" i="23" s="1"/>
  <c r="F115" i="40" s="1"/>
  <c r="I92" i="23"/>
  <c r="L92" i="23" s="1"/>
  <c r="E115" i="40" s="1"/>
  <c r="M91" i="23"/>
  <c r="F114" i="40" s="1"/>
  <c r="L91" i="23"/>
  <c r="E114" i="40" s="1"/>
  <c r="K91" i="23"/>
  <c r="N91" i="23" s="1"/>
  <c r="J91" i="23"/>
  <c r="I91" i="23"/>
  <c r="N90" i="23"/>
  <c r="K90" i="23"/>
  <c r="J90" i="23"/>
  <c r="M90" i="23" s="1"/>
  <c r="F113" i="40" s="1"/>
  <c r="I90" i="23"/>
  <c r="L90" i="23" s="1"/>
  <c r="E113" i="40" s="1"/>
  <c r="M89" i="23"/>
  <c r="F112" i="40" s="1"/>
  <c r="L89" i="23"/>
  <c r="E112" i="40" s="1"/>
  <c r="K89" i="23"/>
  <c r="N89" i="23" s="1"/>
  <c r="J89" i="23"/>
  <c r="I89" i="23"/>
  <c r="N88" i="23"/>
  <c r="K88" i="23"/>
  <c r="J88" i="23"/>
  <c r="M88" i="23" s="1"/>
  <c r="F111" i="40" s="1"/>
  <c r="I88" i="23"/>
  <c r="L88" i="23" s="1"/>
  <c r="E111" i="40" s="1"/>
  <c r="M87" i="23"/>
  <c r="F110" i="40" s="1"/>
  <c r="L87" i="23"/>
  <c r="E110" i="40" s="1"/>
  <c r="K87" i="23"/>
  <c r="N87" i="23" s="1"/>
  <c r="J87" i="23"/>
  <c r="I87" i="23"/>
  <c r="N86" i="23"/>
  <c r="K86" i="23"/>
  <c r="J86" i="23"/>
  <c r="M86" i="23" s="1"/>
  <c r="F109" i="40" s="1"/>
  <c r="I86" i="23"/>
  <c r="L86" i="23" s="1"/>
  <c r="E109" i="40" s="1"/>
  <c r="M85" i="23"/>
  <c r="F108" i="40" s="1"/>
  <c r="K85" i="23"/>
  <c r="N85" i="23" s="1"/>
  <c r="J85" i="23"/>
  <c r="I85" i="23"/>
  <c r="L85" i="23" s="1"/>
  <c r="E108" i="40" s="1"/>
  <c r="N84" i="23"/>
  <c r="K84" i="23"/>
  <c r="J84" i="23"/>
  <c r="M84" i="23" s="1"/>
  <c r="F107" i="40" s="1"/>
  <c r="I84" i="23"/>
  <c r="L84" i="23" s="1"/>
  <c r="E107" i="40" s="1"/>
  <c r="M83" i="23"/>
  <c r="F106" i="40" s="1"/>
  <c r="K83" i="23"/>
  <c r="N83" i="23" s="1"/>
  <c r="J83" i="23"/>
  <c r="I83" i="23"/>
  <c r="L83" i="23" s="1"/>
  <c r="E106" i="40" s="1"/>
  <c r="K82" i="23"/>
  <c r="N82" i="23" s="1"/>
  <c r="J82" i="23"/>
  <c r="M82" i="23" s="1"/>
  <c r="F105" i="40" s="1"/>
  <c r="I82" i="23"/>
  <c r="L82" i="23" s="1"/>
  <c r="E105" i="40" s="1"/>
  <c r="M81" i="23"/>
  <c r="F104" i="40" s="1"/>
  <c r="L81" i="23"/>
  <c r="E104" i="40" s="1"/>
  <c r="K81" i="23"/>
  <c r="N81" i="23" s="1"/>
  <c r="J81" i="23"/>
  <c r="I81" i="23"/>
  <c r="K80" i="23"/>
  <c r="N80" i="23" s="1"/>
  <c r="J80" i="23"/>
  <c r="M80" i="23" s="1"/>
  <c r="F103" i="40" s="1"/>
  <c r="I80" i="23"/>
  <c r="L80" i="23" s="1"/>
  <c r="E103" i="40" s="1"/>
  <c r="M79" i="23"/>
  <c r="F102" i="40" s="1"/>
  <c r="L79" i="23"/>
  <c r="E102" i="40" s="1"/>
  <c r="K79" i="23"/>
  <c r="N79" i="23" s="1"/>
  <c r="J79" i="23"/>
  <c r="I79" i="23"/>
  <c r="N78" i="23"/>
  <c r="K78" i="23"/>
  <c r="J78" i="23"/>
  <c r="M78" i="23" s="1"/>
  <c r="F99" i="40" s="1"/>
  <c r="I78" i="23"/>
  <c r="L78" i="23" s="1"/>
  <c r="E99" i="40" s="1"/>
  <c r="E100" i="40" s="1"/>
  <c r="M77" i="23"/>
  <c r="F98" i="40" s="1"/>
  <c r="K77" i="23"/>
  <c r="N77" i="23" s="1"/>
  <c r="J77" i="23"/>
  <c r="I77" i="23"/>
  <c r="L77" i="23" s="1"/>
  <c r="E98" i="40" s="1"/>
  <c r="K76" i="23"/>
  <c r="N76" i="23" s="1"/>
  <c r="J76" i="23"/>
  <c r="M76" i="23" s="1"/>
  <c r="F97" i="40" s="1"/>
  <c r="I76" i="23"/>
  <c r="L76" i="23" s="1"/>
  <c r="E97" i="40" s="1"/>
  <c r="M75" i="23"/>
  <c r="F96" i="40" s="1"/>
  <c r="L75" i="23"/>
  <c r="E96" i="40" s="1"/>
  <c r="K75" i="23"/>
  <c r="N75" i="23" s="1"/>
  <c r="J75" i="23"/>
  <c r="I75" i="23"/>
  <c r="N74" i="23"/>
  <c r="M74" i="23"/>
  <c r="F95" i="40" s="1"/>
  <c r="K74" i="23"/>
  <c r="J74" i="23"/>
  <c r="I74" i="23"/>
  <c r="L74" i="23" s="1"/>
  <c r="E95" i="40" s="1"/>
  <c r="M73" i="23"/>
  <c r="F94" i="40" s="1"/>
  <c r="K73" i="23"/>
  <c r="N73" i="23" s="1"/>
  <c r="J73" i="23"/>
  <c r="I73" i="23"/>
  <c r="L73" i="23" s="1"/>
  <c r="E94" i="40" s="1"/>
  <c r="K72" i="23"/>
  <c r="N72" i="23" s="1"/>
  <c r="J72" i="23"/>
  <c r="M72" i="23" s="1"/>
  <c r="F93" i="40" s="1"/>
  <c r="I72" i="23"/>
  <c r="L72" i="23" s="1"/>
  <c r="E93" i="40" s="1"/>
  <c r="M71" i="23"/>
  <c r="F92" i="40" s="1"/>
  <c r="L71" i="23"/>
  <c r="E92" i="40" s="1"/>
  <c r="K71" i="23"/>
  <c r="N71" i="23" s="1"/>
  <c r="J71" i="23"/>
  <c r="I71" i="23"/>
  <c r="N70" i="23"/>
  <c r="M70" i="23"/>
  <c r="F91" i="40" s="1"/>
  <c r="K70" i="23"/>
  <c r="J70" i="23"/>
  <c r="I70" i="23"/>
  <c r="L70" i="23" s="1"/>
  <c r="E91" i="40" s="1"/>
  <c r="M69" i="23"/>
  <c r="F90" i="40" s="1"/>
  <c r="K69" i="23"/>
  <c r="N69" i="23" s="1"/>
  <c r="J69" i="23"/>
  <c r="I69" i="23"/>
  <c r="L69" i="23" s="1"/>
  <c r="E90" i="40" s="1"/>
  <c r="K68" i="23"/>
  <c r="N68" i="23" s="1"/>
  <c r="J68" i="23"/>
  <c r="M68" i="23" s="1"/>
  <c r="F89" i="40" s="1"/>
  <c r="I68" i="23"/>
  <c r="L68" i="23" s="1"/>
  <c r="E89" i="40" s="1"/>
  <c r="M67" i="23"/>
  <c r="F88" i="40" s="1"/>
  <c r="L67" i="23"/>
  <c r="E88" i="40" s="1"/>
  <c r="K67" i="23"/>
  <c r="N67" i="23" s="1"/>
  <c r="J67" i="23"/>
  <c r="I67" i="23"/>
  <c r="N66" i="23"/>
  <c r="M66" i="23"/>
  <c r="F87" i="40" s="1"/>
  <c r="K66" i="23"/>
  <c r="J66" i="23"/>
  <c r="I66" i="23"/>
  <c r="L66" i="23" s="1"/>
  <c r="E87" i="40" s="1"/>
  <c r="N65" i="23"/>
  <c r="K65" i="23"/>
  <c r="J65" i="23"/>
  <c r="M65" i="23" s="1"/>
  <c r="F86" i="40" s="1"/>
  <c r="I65" i="23"/>
  <c r="L65" i="23" s="1"/>
  <c r="E86" i="40" s="1"/>
  <c r="M64" i="23"/>
  <c r="F85" i="40" s="1"/>
  <c r="L64" i="23"/>
  <c r="E85" i="40" s="1"/>
  <c r="K64" i="23"/>
  <c r="N64" i="23" s="1"/>
  <c r="J64" i="23"/>
  <c r="I64" i="23"/>
  <c r="N63" i="23"/>
  <c r="K63" i="23"/>
  <c r="J63" i="23"/>
  <c r="M63" i="23" s="1"/>
  <c r="F84" i="40" s="1"/>
  <c r="I63" i="23"/>
  <c r="L63" i="23" s="1"/>
  <c r="E84" i="40" s="1"/>
  <c r="M62" i="23"/>
  <c r="F83" i="40" s="1"/>
  <c r="L62" i="23"/>
  <c r="E83" i="40" s="1"/>
  <c r="K62" i="23"/>
  <c r="N62" i="23" s="1"/>
  <c r="J62" i="23"/>
  <c r="I62" i="23"/>
  <c r="N61" i="23"/>
  <c r="K61" i="23"/>
  <c r="J61" i="23"/>
  <c r="M61" i="23" s="1"/>
  <c r="F82" i="40" s="1"/>
  <c r="I61" i="23"/>
  <c r="L61" i="23" s="1"/>
  <c r="E82" i="40" s="1"/>
  <c r="M60" i="23"/>
  <c r="F81" i="40" s="1"/>
  <c r="L60" i="23"/>
  <c r="E81" i="40" s="1"/>
  <c r="K60" i="23"/>
  <c r="N60" i="23" s="1"/>
  <c r="J60" i="23"/>
  <c r="I60" i="23"/>
  <c r="N59" i="23"/>
  <c r="K59" i="23"/>
  <c r="J59" i="23"/>
  <c r="M59" i="23" s="1"/>
  <c r="F80" i="40" s="1"/>
  <c r="I59" i="23"/>
  <c r="L59" i="23" s="1"/>
  <c r="E80" i="40" s="1"/>
  <c r="M58" i="23"/>
  <c r="F79" i="40" s="1"/>
  <c r="L58" i="23"/>
  <c r="E79" i="40" s="1"/>
  <c r="K58" i="23"/>
  <c r="N58" i="23" s="1"/>
  <c r="J58" i="23"/>
  <c r="I58" i="23"/>
  <c r="N57" i="23"/>
  <c r="K57" i="23"/>
  <c r="J57" i="23"/>
  <c r="M57" i="23" s="1"/>
  <c r="F78" i="40" s="1"/>
  <c r="I57" i="23"/>
  <c r="L57" i="23" s="1"/>
  <c r="E78" i="40" s="1"/>
  <c r="M56" i="23"/>
  <c r="F77" i="40" s="1"/>
  <c r="L56" i="23"/>
  <c r="E77" i="40" s="1"/>
  <c r="K56" i="23"/>
  <c r="N56" i="23" s="1"/>
  <c r="J56" i="23"/>
  <c r="I56" i="23"/>
  <c r="N55" i="23"/>
  <c r="K55" i="23"/>
  <c r="J55" i="23"/>
  <c r="M55" i="23" s="1"/>
  <c r="F76" i="40" s="1"/>
  <c r="I55" i="23"/>
  <c r="L55" i="23" s="1"/>
  <c r="E76" i="40" s="1"/>
  <c r="M54" i="23"/>
  <c r="F75" i="40" s="1"/>
  <c r="L54" i="23"/>
  <c r="E75" i="40" s="1"/>
  <c r="K54" i="23"/>
  <c r="N54" i="23" s="1"/>
  <c r="J54" i="23"/>
  <c r="I54" i="23"/>
  <c r="N53" i="23"/>
  <c r="K53" i="23"/>
  <c r="J53" i="23"/>
  <c r="M53" i="23" s="1"/>
  <c r="F74" i="40" s="1"/>
  <c r="I53" i="23"/>
  <c r="L53" i="23" s="1"/>
  <c r="E74" i="40" s="1"/>
  <c r="M52" i="23"/>
  <c r="F73" i="40" s="1"/>
  <c r="L52" i="23"/>
  <c r="E73" i="40" s="1"/>
  <c r="K52" i="23"/>
  <c r="N52" i="23" s="1"/>
  <c r="J52" i="23"/>
  <c r="I52" i="23"/>
  <c r="N51" i="23"/>
  <c r="K51" i="23"/>
  <c r="J51" i="23"/>
  <c r="M51" i="23" s="1"/>
  <c r="F72" i="40" s="1"/>
  <c r="I51" i="23"/>
  <c r="L51" i="23" s="1"/>
  <c r="E72" i="40" s="1"/>
  <c r="M50" i="23"/>
  <c r="F69" i="40" s="1"/>
  <c r="L50" i="23"/>
  <c r="E69" i="40" s="1"/>
  <c r="K50" i="23"/>
  <c r="N50" i="23" s="1"/>
  <c r="J50" i="23"/>
  <c r="I50" i="23"/>
  <c r="N49" i="23"/>
  <c r="K49" i="23"/>
  <c r="J49" i="23"/>
  <c r="M49" i="23" s="1"/>
  <c r="F68" i="40" s="1"/>
  <c r="I49" i="23"/>
  <c r="L49" i="23" s="1"/>
  <c r="E68" i="40" s="1"/>
  <c r="L68" i="40" s="1"/>
  <c r="M48" i="23"/>
  <c r="F67" i="40" s="1"/>
  <c r="L48" i="23"/>
  <c r="E67" i="40" s="1"/>
  <c r="L67" i="40" s="1"/>
  <c r="K48" i="23"/>
  <c r="N48" i="23" s="1"/>
  <c r="J48" i="23"/>
  <c r="I48" i="23"/>
  <c r="N47" i="23"/>
  <c r="K47" i="23"/>
  <c r="J47" i="23"/>
  <c r="M47" i="23" s="1"/>
  <c r="F66" i="40" s="1"/>
  <c r="I47" i="23"/>
  <c r="L47" i="23" s="1"/>
  <c r="E66" i="40" s="1"/>
  <c r="L66" i="40" s="1"/>
  <c r="M46" i="23"/>
  <c r="F65" i="40" s="1"/>
  <c r="L46" i="23"/>
  <c r="E65" i="40" s="1"/>
  <c r="L65" i="40" s="1"/>
  <c r="K46" i="23"/>
  <c r="N46" i="23" s="1"/>
  <c r="J46" i="23"/>
  <c r="I46" i="23"/>
  <c r="N45" i="23"/>
  <c r="K45" i="23"/>
  <c r="J45" i="23"/>
  <c r="M45" i="23" s="1"/>
  <c r="F64" i="40" s="1"/>
  <c r="I45" i="23"/>
  <c r="L45" i="23" s="1"/>
  <c r="E64" i="40" s="1"/>
  <c r="L64" i="40" s="1"/>
  <c r="M44" i="23"/>
  <c r="F63" i="40" s="1"/>
  <c r="L44" i="23"/>
  <c r="E63" i="40" s="1"/>
  <c r="L63" i="40" s="1"/>
  <c r="K44" i="23"/>
  <c r="N44" i="23" s="1"/>
  <c r="J44" i="23"/>
  <c r="I44" i="23"/>
  <c r="N43" i="23"/>
  <c r="K43" i="23"/>
  <c r="J43" i="23"/>
  <c r="M43" i="23" s="1"/>
  <c r="F62" i="40" s="1"/>
  <c r="I43" i="23"/>
  <c r="L43" i="23" s="1"/>
  <c r="E62" i="40" s="1"/>
  <c r="L62" i="40" s="1"/>
  <c r="M42" i="23"/>
  <c r="F61" i="40" s="1"/>
  <c r="L42" i="23"/>
  <c r="E61" i="40" s="1"/>
  <c r="L61" i="40" s="1"/>
  <c r="K42" i="23"/>
  <c r="N42" i="23" s="1"/>
  <c r="J42" i="23"/>
  <c r="I42" i="23"/>
  <c r="N41" i="23"/>
  <c r="K41" i="23"/>
  <c r="J41" i="23"/>
  <c r="M41" i="23" s="1"/>
  <c r="F60" i="40" s="1"/>
  <c r="I41" i="23"/>
  <c r="L41" i="23" s="1"/>
  <c r="E60" i="40" s="1"/>
  <c r="L60" i="40" s="1"/>
  <c r="M40" i="23"/>
  <c r="F59" i="40" s="1"/>
  <c r="L40" i="23"/>
  <c r="E59" i="40" s="1"/>
  <c r="L59" i="40" s="1"/>
  <c r="K40" i="23"/>
  <c r="N40" i="23" s="1"/>
  <c r="J40" i="23"/>
  <c r="I40" i="23"/>
  <c r="N39" i="23"/>
  <c r="K39" i="23"/>
  <c r="J39" i="23"/>
  <c r="M39" i="23" s="1"/>
  <c r="F58" i="40" s="1"/>
  <c r="I39" i="23"/>
  <c r="L39" i="23" s="1"/>
  <c r="E58" i="40" s="1"/>
  <c r="L58" i="40" s="1"/>
  <c r="M38" i="23"/>
  <c r="F57" i="40" s="1"/>
  <c r="L38" i="23"/>
  <c r="E57" i="40" s="1"/>
  <c r="L57" i="40" s="1"/>
  <c r="K38" i="23"/>
  <c r="N38" i="23" s="1"/>
  <c r="J38" i="23"/>
  <c r="I38" i="23"/>
  <c r="N37" i="23"/>
  <c r="K37" i="23"/>
  <c r="J37" i="23"/>
  <c r="M37" i="23" s="1"/>
  <c r="F56" i="40" s="1"/>
  <c r="I37" i="23"/>
  <c r="L37" i="23" s="1"/>
  <c r="E56" i="40" s="1"/>
  <c r="L56" i="40" s="1"/>
  <c r="M36" i="23"/>
  <c r="F55" i="40" s="1"/>
  <c r="L36" i="23"/>
  <c r="E55" i="40" s="1"/>
  <c r="L55" i="40" s="1"/>
  <c r="K36" i="23"/>
  <c r="N36" i="23" s="1"/>
  <c r="J36" i="23"/>
  <c r="I36" i="23"/>
  <c r="N35" i="23"/>
  <c r="K35" i="23"/>
  <c r="J35" i="23"/>
  <c r="M35" i="23" s="1"/>
  <c r="F54" i="40" s="1"/>
  <c r="I35" i="23"/>
  <c r="L35" i="23" s="1"/>
  <c r="E54" i="40" s="1"/>
  <c r="L54" i="40" s="1"/>
  <c r="M34" i="23"/>
  <c r="F53" i="40" s="1"/>
  <c r="L34" i="23"/>
  <c r="E53" i="40" s="1"/>
  <c r="L53" i="40" s="1"/>
  <c r="K34" i="23"/>
  <c r="N34" i="23" s="1"/>
  <c r="J34" i="23"/>
  <c r="I34" i="23"/>
  <c r="N33" i="23"/>
  <c r="K33" i="23"/>
  <c r="J33" i="23"/>
  <c r="M33" i="23" s="1"/>
  <c r="F52" i="40" s="1"/>
  <c r="I33" i="23"/>
  <c r="L33" i="23" s="1"/>
  <c r="E52" i="40" s="1"/>
  <c r="L52" i="40" s="1"/>
  <c r="M32" i="23"/>
  <c r="F51" i="40" s="1"/>
  <c r="L32" i="23"/>
  <c r="E51" i="40" s="1"/>
  <c r="L51" i="40" s="1"/>
  <c r="K32" i="23"/>
  <c r="N32" i="23" s="1"/>
  <c r="J32" i="23"/>
  <c r="I32" i="23"/>
  <c r="N31" i="23"/>
  <c r="K31" i="23"/>
  <c r="J31" i="23"/>
  <c r="M31" i="23" s="1"/>
  <c r="F50" i="40" s="1"/>
  <c r="I31" i="23"/>
  <c r="L31" i="23" s="1"/>
  <c r="E50" i="40" s="1"/>
  <c r="L50" i="40" s="1"/>
  <c r="M30" i="23"/>
  <c r="F49" i="40" s="1"/>
  <c r="L30" i="23"/>
  <c r="E49" i="40" s="1"/>
  <c r="L49" i="40" s="1"/>
  <c r="K30" i="23"/>
  <c r="N30" i="23" s="1"/>
  <c r="J30" i="23"/>
  <c r="I30" i="23"/>
  <c r="N29" i="23"/>
  <c r="K29" i="23"/>
  <c r="J29" i="23"/>
  <c r="M29" i="23" s="1"/>
  <c r="F48" i="40" s="1"/>
  <c r="I29" i="23"/>
  <c r="L29" i="23" s="1"/>
  <c r="E48" i="40" s="1"/>
  <c r="L48" i="40" s="1"/>
  <c r="M28" i="23"/>
  <c r="F47" i="40" s="1"/>
  <c r="L28" i="23"/>
  <c r="E47" i="40" s="1"/>
  <c r="L47" i="40" s="1"/>
  <c r="K28" i="23"/>
  <c r="N28" i="23" s="1"/>
  <c r="J28" i="23"/>
  <c r="I28" i="23"/>
  <c r="N27" i="23"/>
  <c r="K27" i="23"/>
  <c r="J27" i="23"/>
  <c r="M27" i="23" s="1"/>
  <c r="F46" i="40" s="1"/>
  <c r="I27" i="23"/>
  <c r="L27" i="23" s="1"/>
  <c r="E46" i="40" s="1"/>
  <c r="L46" i="40" s="1"/>
  <c r="M26" i="23"/>
  <c r="F45" i="40" s="1"/>
  <c r="L26" i="23"/>
  <c r="E45" i="40" s="1"/>
  <c r="L45" i="40" s="1"/>
  <c r="K26" i="23"/>
  <c r="N26" i="23" s="1"/>
  <c r="J26" i="23"/>
  <c r="I26" i="23"/>
  <c r="N25" i="23"/>
  <c r="K25" i="23"/>
  <c r="J25" i="23"/>
  <c r="M25" i="23" s="1"/>
  <c r="F44" i="40" s="1"/>
  <c r="I25" i="23"/>
  <c r="L25" i="23" s="1"/>
  <c r="E44" i="40" s="1"/>
  <c r="L44" i="40" s="1"/>
  <c r="M24" i="23"/>
  <c r="F43" i="40" s="1"/>
  <c r="L24" i="23"/>
  <c r="E43" i="40" s="1"/>
  <c r="L43" i="40" s="1"/>
  <c r="K24" i="23"/>
  <c r="N24" i="23" s="1"/>
  <c r="J24" i="23"/>
  <c r="I24" i="23"/>
  <c r="N23" i="23"/>
  <c r="K23" i="23"/>
  <c r="J23" i="23"/>
  <c r="M23" i="23" s="1"/>
  <c r="F42" i="40" s="1"/>
  <c r="I23" i="23"/>
  <c r="L23" i="23" s="1"/>
  <c r="E42" i="40" s="1"/>
  <c r="L42" i="40" s="1"/>
  <c r="M22" i="23"/>
  <c r="F41" i="40" s="1"/>
  <c r="L22" i="23"/>
  <c r="E41" i="40" s="1"/>
  <c r="L41" i="40" s="1"/>
  <c r="K22" i="23"/>
  <c r="N22" i="23" s="1"/>
  <c r="J22" i="23"/>
  <c r="I22" i="23"/>
  <c r="N21" i="23"/>
  <c r="K21" i="23"/>
  <c r="J21" i="23"/>
  <c r="M21" i="23" s="1"/>
  <c r="F33" i="40" s="1"/>
  <c r="I21" i="23"/>
  <c r="L21" i="23" s="1"/>
  <c r="E33" i="40" s="1"/>
  <c r="M20" i="23"/>
  <c r="F32" i="40" s="1"/>
  <c r="L20" i="23"/>
  <c r="E32" i="40" s="1"/>
  <c r="L32" i="40" s="1"/>
  <c r="K20" i="23"/>
  <c r="N20" i="23" s="1"/>
  <c r="J20" i="23"/>
  <c r="I20" i="23"/>
  <c r="N19" i="23"/>
  <c r="K19" i="23"/>
  <c r="J19" i="23"/>
  <c r="M19" i="23" s="1"/>
  <c r="F31" i="40" s="1"/>
  <c r="I19" i="23"/>
  <c r="L19" i="23" s="1"/>
  <c r="E31" i="40" s="1"/>
  <c r="M18" i="23"/>
  <c r="F30" i="40" s="1"/>
  <c r="L18" i="23"/>
  <c r="E30" i="40" s="1"/>
  <c r="K18" i="23"/>
  <c r="N18" i="23" s="1"/>
  <c r="J18" i="23"/>
  <c r="I18" i="23"/>
  <c r="AA16" i="23"/>
  <c r="N16" i="23" s="1"/>
  <c r="J21" i="32" s="1"/>
  <c r="N14" i="23"/>
  <c r="J18" i="32" s="1"/>
  <c r="M13" i="23"/>
  <c r="E17" i="32" s="1"/>
  <c r="AA12" i="23"/>
  <c r="N12" i="23" s="1"/>
  <c r="J16" i="32" s="1"/>
  <c r="M12" i="23"/>
  <c r="E16" i="32" s="1"/>
  <c r="M11" i="23"/>
  <c r="E15" i="32" s="1"/>
  <c r="N3" i="23"/>
  <c r="C34" i="22"/>
  <c r="E30" i="22"/>
  <c r="C30" i="22" s="1"/>
  <c r="D14" i="28" s="1"/>
  <c r="C8" i="22"/>
  <c r="D3" i="44" s="1"/>
  <c r="C7" i="22"/>
  <c r="E5" i="41" s="1"/>
  <c r="E5" i="22"/>
  <c r="C5" i="22" s="1"/>
  <c r="D5" i="12" s="1"/>
  <c r="E3" i="22"/>
  <c r="C3" i="22" s="1"/>
  <c r="D5" i="32" s="1"/>
  <c r="C2" i="22"/>
  <c r="I53" i="21"/>
  <c r="H53" i="21"/>
  <c r="G53" i="21"/>
  <c r="I52" i="21"/>
  <c r="H52" i="21"/>
  <c r="G52" i="21"/>
  <c r="I51" i="21"/>
  <c r="H51" i="21"/>
  <c r="G51" i="21"/>
  <c r="I50" i="21"/>
  <c r="H50" i="21"/>
  <c r="G50" i="21"/>
  <c r="I49" i="21"/>
  <c r="H49" i="21"/>
  <c r="G49" i="21"/>
  <c r="I48" i="21"/>
  <c r="H48" i="21"/>
  <c r="G48" i="21"/>
  <c r="I47" i="21"/>
  <c r="H47" i="21"/>
  <c r="F29" i="21" s="1"/>
  <c r="G47" i="21"/>
  <c r="E29" i="21" s="1"/>
  <c r="I46" i="21"/>
  <c r="K45" i="21"/>
  <c r="I45" i="21"/>
  <c r="G36" i="21"/>
  <c r="E4" i="22" s="1"/>
  <c r="C4" i="22" s="1"/>
  <c r="F36" i="21"/>
  <c r="L18" i="34" s="1"/>
  <c r="F32" i="21"/>
  <c r="AX62" i="20"/>
  <c r="AX61" i="20"/>
  <c r="AX60" i="20"/>
  <c r="AX59" i="20"/>
  <c r="AX58" i="20"/>
  <c r="AX57" i="20"/>
  <c r="AX56" i="20"/>
  <c r="AX55" i="20"/>
  <c r="AX54" i="20"/>
  <c r="AO54" i="20"/>
  <c r="W54" i="20"/>
  <c r="AX51" i="20"/>
  <c r="AX50" i="20"/>
  <c r="AX49" i="20"/>
  <c r="AX48" i="20"/>
  <c r="AX47" i="20"/>
  <c r="S47" i="20"/>
  <c r="AX46" i="20"/>
  <c r="AX45" i="20"/>
  <c r="AU45" i="20"/>
  <c r="AP44" i="20"/>
  <c r="AQ44" i="20" s="1"/>
  <c r="AS44" i="20" s="1"/>
  <c r="AT44" i="20" s="1"/>
  <c r="AU44" i="20" s="1"/>
  <c r="AO44" i="20"/>
  <c r="AN44" i="20"/>
  <c r="V44" i="20"/>
  <c r="W44" i="20" s="1"/>
  <c r="X44" i="20" s="1"/>
  <c r="Y44" i="20" s="1"/>
  <c r="AA44" i="20" s="1"/>
  <c r="AB44" i="20" s="1"/>
  <c r="U44" i="20"/>
  <c r="AB36" i="20"/>
  <c r="AB35" i="20"/>
  <c r="AB33" i="20"/>
  <c r="AB32" i="20"/>
  <c r="AB31" i="20"/>
  <c r="AB30" i="20"/>
  <c r="S28" i="20"/>
  <c r="S27" i="20"/>
  <c r="AX17" i="20"/>
  <c r="AX16" i="20"/>
  <c r="AX15" i="20"/>
  <c r="AX14" i="20"/>
  <c r="AX13" i="20"/>
  <c r="AX12" i="20"/>
  <c r="AX11" i="20"/>
  <c r="AO11" i="20"/>
  <c r="W11" i="20"/>
  <c r="AX8" i="20"/>
  <c r="AX7" i="20"/>
  <c r="J7" i="20"/>
  <c r="AX6" i="20"/>
  <c r="AX5" i="20"/>
  <c r="AB5" i="20"/>
  <c r="S5" i="20"/>
  <c r="K8" i="20" s="1"/>
  <c r="S8" i="20" s="1"/>
  <c r="AX4" i="20"/>
  <c r="AB4" i="20"/>
  <c r="S4" i="20"/>
  <c r="AX3" i="20"/>
  <c r="AB3" i="20"/>
  <c r="S3" i="20"/>
  <c r="AX2" i="20"/>
  <c r="AB2" i="20"/>
  <c r="S2" i="20"/>
  <c r="AT65" i="19"/>
  <c r="AT64" i="19"/>
  <c r="AT63" i="19"/>
  <c r="AT62" i="19"/>
  <c r="AT61" i="19"/>
  <c r="AT60" i="19"/>
  <c r="AT59" i="19"/>
  <c r="AT58" i="19"/>
  <c r="AT57" i="19"/>
  <c r="AK57" i="19"/>
  <c r="AB57" i="19"/>
  <c r="AT56" i="19"/>
  <c r="AT55" i="19"/>
  <c r="AT54" i="19"/>
  <c r="AT53" i="19"/>
  <c r="AT52" i="19"/>
  <c r="AT51" i="19"/>
  <c r="U51" i="19"/>
  <c r="AT50" i="19"/>
  <c r="AT49" i="19"/>
  <c r="AQ49" i="19"/>
  <c r="AL48" i="19"/>
  <c r="AM48" i="19" s="1"/>
  <c r="AO48" i="19" s="1"/>
  <c r="AP48" i="19" s="1"/>
  <c r="AQ48" i="19" s="1"/>
  <c r="AK48" i="19"/>
  <c r="AJ48" i="19"/>
  <c r="AA48" i="19"/>
  <c r="AB48" i="19" s="1"/>
  <c r="AC48" i="19" s="1"/>
  <c r="AD48" i="19" s="1"/>
  <c r="AF48" i="19" s="1"/>
  <c r="AG48" i="19" s="1"/>
  <c r="X48" i="19"/>
  <c r="W48" i="19"/>
  <c r="AG39" i="19"/>
  <c r="X39" i="19"/>
  <c r="AG38" i="19"/>
  <c r="X38" i="19"/>
  <c r="AG36" i="19"/>
  <c r="X36" i="19"/>
  <c r="AG35" i="19"/>
  <c r="X35" i="19"/>
  <c r="AG34" i="19"/>
  <c r="X34" i="19"/>
  <c r="AG33" i="19"/>
  <c r="X33" i="19"/>
  <c r="U31" i="19"/>
  <c r="U30" i="19"/>
  <c r="AK22" i="19"/>
  <c r="AT17" i="19"/>
  <c r="AT16" i="19"/>
  <c r="AT15" i="19"/>
  <c r="AT14" i="19"/>
  <c r="AT13" i="19"/>
  <c r="AT12" i="19"/>
  <c r="AT10" i="19"/>
  <c r="AK10" i="19"/>
  <c r="AB10" i="19"/>
  <c r="AT8" i="19"/>
  <c r="AT7" i="19"/>
  <c r="AT6" i="19"/>
  <c r="AT5" i="19"/>
  <c r="AG5" i="19"/>
  <c r="U5" i="19"/>
  <c r="I6" i="19" s="1"/>
  <c r="J7" i="19" s="1"/>
  <c r="AT4" i="19"/>
  <c r="AG4" i="19"/>
  <c r="U4" i="19"/>
  <c r="AT3" i="19"/>
  <c r="AG3" i="19"/>
  <c r="U3" i="19"/>
  <c r="AT2" i="19"/>
  <c r="AG2" i="19"/>
  <c r="U2" i="19"/>
  <c r="AP57" i="18"/>
  <c r="AP56" i="18"/>
  <c r="AP55" i="18"/>
  <c r="AP54" i="18"/>
  <c r="AP53" i="18"/>
  <c r="AP52" i="18"/>
  <c r="AP51" i="18"/>
  <c r="AP50" i="18"/>
  <c r="AG50" i="18"/>
  <c r="Y50" i="18"/>
  <c r="AP49" i="18"/>
  <c r="AP48" i="18"/>
  <c r="AP47" i="18"/>
  <c r="AP46" i="18"/>
  <c r="AP45" i="18"/>
  <c r="AP44" i="18"/>
  <c r="AD44" i="18"/>
  <c r="AP43" i="18"/>
  <c r="AM43" i="18"/>
  <c r="AD43" i="18"/>
  <c r="AF42" i="18"/>
  <c r="AG42" i="18" s="1"/>
  <c r="AH42" i="18" s="1"/>
  <c r="AI42" i="18" s="1"/>
  <c r="AK42" i="18" s="1"/>
  <c r="AL42" i="18" s="1"/>
  <c r="AM42" i="18" s="1"/>
  <c r="Z42" i="18"/>
  <c r="AA42" i="18" s="1"/>
  <c r="AC42" i="18" s="1"/>
  <c r="AD42" i="18" s="1"/>
  <c r="Y42" i="18"/>
  <c r="X42" i="18"/>
  <c r="U42" i="18"/>
  <c r="V42" i="18" s="1"/>
  <c r="AD35" i="18"/>
  <c r="V35" i="18"/>
  <c r="AD34" i="18"/>
  <c r="V34" i="18"/>
  <c r="AD32" i="18"/>
  <c r="V32" i="18"/>
  <c r="AD31" i="18"/>
  <c r="V31" i="18"/>
  <c r="AD30" i="18"/>
  <c r="V30" i="18"/>
  <c r="AD29" i="18"/>
  <c r="V29" i="18"/>
  <c r="S27" i="18"/>
  <c r="S26" i="18"/>
  <c r="AG18" i="18"/>
  <c r="AP15" i="18"/>
  <c r="AP14" i="18"/>
  <c r="AP13" i="18"/>
  <c r="AP12" i="18"/>
  <c r="AP11" i="18"/>
  <c r="AP10" i="18"/>
  <c r="AP9" i="18"/>
  <c r="AG9" i="18"/>
  <c r="Y9" i="18"/>
  <c r="AP8" i="18"/>
  <c r="AP7" i="18"/>
  <c r="AP6" i="18"/>
  <c r="AP5" i="18"/>
  <c r="AD5" i="18"/>
  <c r="S5" i="18"/>
  <c r="I6" i="18" s="1"/>
  <c r="J7" i="18" s="1"/>
  <c r="AP4" i="18"/>
  <c r="AD4" i="18"/>
  <c r="S4" i="18"/>
  <c r="AP3" i="18"/>
  <c r="AD3" i="18"/>
  <c r="S3" i="18"/>
  <c r="AP2" i="18"/>
  <c r="AD2" i="18"/>
  <c r="S2" i="18"/>
  <c r="AP57" i="17"/>
  <c r="AP56" i="17"/>
  <c r="AP55" i="17"/>
  <c r="AP54" i="17"/>
  <c r="AP53" i="17"/>
  <c r="AP52" i="17"/>
  <c r="AP51" i="17"/>
  <c r="AP50" i="17"/>
  <c r="AG50" i="17"/>
  <c r="Y50" i="17"/>
  <c r="AP49" i="17"/>
  <c r="AP48" i="17"/>
  <c r="AP47" i="17"/>
  <c r="AP46" i="17"/>
  <c r="AP45" i="17"/>
  <c r="AP44" i="17"/>
  <c r="AP43" i="17"/>
  <c r="AM43" i="17"/>
  <c r="AD43" i="17"/>
  <c r="AF42" i="17"/>
  <c r="AG42" i="17" s="1"/>
  <c r="AH42" i="17" s="1"/>
  <c r="AI42" i="17" s="1"/>
  <c r="AK42" i="17" s="1"/>
  <c r="AL42" i="17" s="1"/>
  <c r="AM42" i="17" s="1"/>
  <c r="Z42" i="17"/>
  <c r="AA42" i="17" s="1"/>
  <c r="AC42" i="17" s="1"/>
  <c r="AD42" i="17" s="1"/>
  <c r="Y42" i="17"/>
  <c r="X42" i="17"/>
  <c r="U42" i="17"/>
  <c r="V42" i="17" s="1"/>
  <c r="AD35" i="17"/>
  <c r="V35" i="17"/>
  <c r="AD34" i="17"/>
  <c r="V34" i="17"/>
  <c r="AD32" i="17"/>
  <c r="V32" i="17"/>
  <c r="AD31" i="17"/>
  <c r="V31" i="17"/>
  <c r="AD30" i="17"/>
  <c r="V30" i="17"/>
  <c r="AD29" i="17"/>
  <c r="V29" i="17"/>
  <c r="S27" i="17"/>
  <c r="S26" i="17"/>
  <c r="AG18" i="17"/>
  <c r="AP15" i="17"/>
  <c r="AP14" i="17"/>
  <c r="AP13" i="17"/>
  <c r="AP12" i="17"/>
  <c r="AP11" i="17"/>
  <c r="AP10" i="17"/>
  <c r="AP9" i="17"/>
  <c r="AG9" i="17"/>
  <c r="Y9" i="17"/>
  <c r="AP8" i="17"/>
  <c r="AP7" i="17"/>
  <c r="AP6" i="17"/>
  <c r="AP5" i="17"/>
  <c r="AD5" i="17"/>
  <c r="S5" i="17"/>
  <c r="I6" i="17" s="1"/>
  <c r="J7" i="17" s="1"/>
  <c r="AP4" i="17"/>
  <c r="AD4" i="17"/>
  <c r="S4" i="17"/>
  <c r="AP3" i="17"/>
  <c r="AD3" i="17"/>
  <c r="S3" i="17"/>
  <c r="AP2" i="17"/>
  <c r="AD2" i="17"/>
  <c r="S2" i="17"/>
  <c r="AP57" i="16"/>
  <c r="AP56" i="16"/>
  <c r="AP55" i="16"/>
  <c r="AP54" i="16"/>
  <c r="AP53" i="16"/>
  <c r="AP52" i="16"/>
  <c r="AP51" i="16"/>
  <c r="AP50" i="16"/>
  <c r="AG50" i="16"/>
  <c r="Y50" i="16"/>
  <c r="AP49" i="16"/>
  <c r="AP48" i="16"/>
  <c r="AP47" i="16"/>
  <c r="AP46" i="16"/>
  <c r="AP45" i="16"/>
  <c r="AP44" i="16"/>
  <c r="AP43" i="16"/>
  <c r="AM43" i="16"/>
  <c r="AD43" i="16"/>
  <c r="AF42" i="16"/>
  <c r="AG42" i="16" s="1"/>
  <c r="AH42" i="16" s="1"/>
  <c r="AI42" i="16" s="1"/>
  <c r="AK42" i="16" s="1"/>
  <c r="AL42" i="16" s="1"/>
  <c r="AM42" i="16" s="1"/>
  <c r="Z42" i="16"/>
  <c r="AA42" i="16" s="1"/>
  <c r="AC42" i="16" s="1"/>
  <c r="AD42" i="16" s="1"/>
  <c r="Y42" i="16"/>
  <c r="X42" i="16"/>
  <c r="U42" i="16"/>
  <c r="V42" i="16" s="1"/>
  <c r="AD35" i="16"/>
  <c r="V35" i="16"/>
  <c r="AD34" i="16"/>
  <c r="V34" i="16"/>
  <c r="AD32" i="16"/>
  <c r="V32" i="16"/>
  <c r="AD31" i="16"/>
  <c r="V31" i="16"/>
  <c r="AD30" i="16"/>
  <c r="V30" i="16"/>
  <c r="AD29" i="16"/>
  <c r="V29" i="16"/>
  <c r="S27" i="16"/>
  <c r="S26" i="16"/>
  <c r="AG18" i="16"/>
  <c r="AP15" i="16"/>
  <c r="AP14" i="16"/>
  <c r="AP13" i="16"/>
  <c r="AP12" i="16"/>
  <c r="AP11" i="16"/>
  <c r="AP10" i="16"/>
  <c r="AP9" i="16"/>
  <c r="AG9" i="16"/>
  <c r="Y9" i="16"/>
  <c r="AP8" i="16"/>
  <c r="AP7" i="16"/>
  <c r="AP6" i="16"/>
  <c r="AP5" i="16"/>
  <c r="AD5" i="16"/>
  <c r="S5" i="16"/>
  <c r="I6" i="16" s="1"/>
  <c r="J7" i="16" s="1"/>
  <c r="AP4" i="16"/>
  <c r="AD4" i="16"/>
  <c r="S4" i="16"/>
  <c r="AP3" i="16"/>
  <c r="AD3" i="16"/>
  <c r="S3" i="16"/>
  <c r="AP2" i="16"/>
  <c r="AD2" i="16"/>
  <c r="S2" i="16"/>
  <c r="AP57" i="15"/>
  <c r="AP56" i="15"/>
  <c r="AP55" i="15"/>
  <c r="AP54" i="15"/>
  <c r="AP53" i="15"/>
  <c r="AP52" i="15"/>
  <c r="AP51" i="15"/>
  <c r="AP50" i="15"/>
  <c r="AG50" i="15"/>
  <c r="Y50" i="15"/>
  <c r="AP49" i="15"/>
  <c r="AP48" i="15"/>
  <c r="AP47" i="15"/>
  <c r="AP46" i="15"/>
  <c r="S46" i="15"/>
  <c r="I47" i="15" s="1"/>
  <c r="AP45" i="15"/>
  <c r="AP44" i="15"/>
  <c r="AP43" i="15"/>
  <c r="AM43" i="15"/>
  <c r="AG42" i="15"/>
  <c r="AH42" i="15" s="1"/>
  <c r="AI42" i="15" s="1"/>
  <c r="AK42" i="15" s="1"/>
  <c r="AL42" i="15" s="1"/>
  <c r="AM42" i="15" s="1"/>
  <c r="AF42" i="15"/>
  <c r="X42" i="15"/>
  <c r="Y42" i="15" s="1"/>
  <c r="Z42" i="15" s="1"/>
  <c r="AA42" i="15" s="1"/>
  <c r="AC42" i="15" s="1"/>
  <c r="AD42" i="15" s="1"/>
  <c r="V42" i="15"/>
  <c r="U42" i="15"/>
  <c r="AD35" i="15"/>
  <c r="V35" i="15"/>
  <c r="AD34" i="15"/>
  <c r="V34" i="15"/>
  <c r="AD32" i="15"/>
  <c r="V32" i="15"/>
  <c r="AD31" i="15"/>
  <c r="V31" i="15"/>
  <c r="AD30" i="15"/>
  <c r="V30" i="15"/>
  <c r="AD29" i="15"/>
  <c r="V29" i="15"/>
  <c r="S27" i="15"/>
  <c r="S26" i="15"/>
  <c r="AG18" i="15"/>
  <c r="AP15" i="15"/>
  <c r="AP14" i="15"/>
  <c r="AP13" i="15"/>
  <c r="AP12" i="15"/>
  <c r="AP11" i="15"/>
  <c r="AP10" i="15"/>
  <c r="AP9" i="15"/>
  <c r="AG9" i="15"/>
  <c r="Y9" i="15"/>
  <c r="AP8" i="15"/>
  <c r="AP7" i="15"/>
  <c r="J7" i="15"/>
  <c r="S7" i="15" s="1"/>
  <c r="AP6" i="15"/>
  <c r="I6" i="15"/>
  <c r="S6" i="15" s="1"/>
  <c r="AP5" i="15"/>
  <c r="AD5" i="15"/>
  <c r="S5" i="15"/>
  <c r="AP4" i="15"/>
  <c r="AD4" i="15"/>
  <c r="S4" i="15"/>
  <c r="AP3" i="15"/>
  <c r="AD3" i="15"/>
  <c r="S3" i="15"/>
  <c r="AP2" i="15"/>
  <c r="AD2" i="15"/>
  <c r="S2" i="15"/>
  <c r="AP57" i="14"/>
  <c r="AP56" i="14"/>
  <c r="AP55" i="14"/>
  <c r="AP54" i="14"/>
  <c r="AP53" i="14"/>
  <c r="AP52" i="14"/>
  <c r="AP51" i="14"/>
  <c r="AP50" i="14"/>
  <c r="AG50" i="14"/>
  <c r="Y50" i="14"/>
  <c r="AP49" i="14"/>
  <c r="AP48" i="14"/>
  <c r="AP47" i="14"/>
  <c r="AP46" i="14"/>
  <c r="AP45" i="14"/>
  <c r="AD45" i="14"/>
  <c r="AP44" i="14"/>
  <c r="S44" i="14"/>
  <c r="AP43" i="14"/>
  <c r="AM43" i="14"/>
  <c r="S43" i="14"/>
  <c r="AF42" i="14"/>
  <c r="AG42" i="14" s="1"/>
  <c r="AH42" i="14" s="1"/>
  <c r="AI42" i="14" s="1"/>
  <c r="AK42" i="14" s="1"/>
  <c r="AL42" i="14" s="1"/>
  <c r="AM42" i="14" s="1"/>
  <c r="Y42" i="14"/>
  <c r="Z42" i="14" s="1"/>
  <c r="AA42" i="14" s="1"/>
  <c r="AC42" i="14" s="1"/>
  <c r="AD42" i="14" s="1"/>
  <c r="X42" i="14"/>
  <c r="U42" i="14"/>
  <c r="V42" i="14" s="1"/>
  <c r="AD35" i="14"/>
  <c r="V35" i="14"/>
  <c r="AD34" i="14"/>
  <c r="V34" i="14"/>
  <c r="AD32" i="14"/>
  <c r="V32" i="14"/>
  <c r="AD31" i="14"/>
  <c r="V31" i="14"/>
  <c r="AD30" i="14"/>
  <c r="V30" i="14"/>
  <c r="AD29" i="14"/>
  <c r="V29" i="14"/>
  <c r="S27" i="14"/>
  <c r="S26" i="14"/>
  <c r="AG18" i="14"/>
  <c r="AP15" i="14"/>
  <c r="AP14" i="14"/>
  <c r="AP13" i="14"/>
  <c r="AP12" i="14"/>
  <c r="AP11" i="14"/>
  <c r="AP10" i="14"/>
  <c r="AP9" i="14"/>
  <c r="AG9" i="14"/>
  <c r="Y9" i="14"/>
  <c r="AP8" i="14"/>
  <c r="AP7" i="14"/>
  <c r="AP6" i="14"/>
  <c r="AP5" i="14"/>
  <c r="AD5" i="14"/>
  <c r="S5" i="14"/>
  <c r="I6" i="14" s="1"/>
  <c r="J7" i="14" s="1"/>
  <c r="AP4" i="14"/>
  <c r="AD4" i="14"/>
  <c r="S4" i="14"/>
  <c r="AP3" i="14"/>
  <c r="AD3" i="14"/>
  <c r="S3" i="14"/>
  <c r="AP2" i="14"/>
  <c r="AD2" i="14"/>
  <c r="S2" i="14"/>
  <c r="AP57" i="13"/>
  <c r="AP56" i="13"/>
  <c r="AP55" i="13"/>
  <c r="AP54" i="13"/>
  <c r="AP53" i="13"/>
  <c r="AP52" i="13"/>
  <c r="AP51" i="13"/>
  <c r="AP50" i="13"/>
  <c r="AG50" i="13"/>
  <c r="Y50" i="13"/>
  <c r="AP49" i="13"/>
  <c r="AP48" i="13"/>
  <c r="AP47" i="13"/>
  <c r="AP46" i="13"/>
  <c r="S46" i="13"/>
  <c r="I47" i="13" s="1"/>
  <c r="J48" i="13" s="1"/>
  <c r="AP45" i="13"/>
  <c r="AP44" i="13"/>
  <c r="AP43" i="13"/>
  <c r="AM43" i="13"/>
  <c r="AL42" i="13"/>
  <c r="AM42" i="13" s="1"/>
  <c r="AG42" i="13"/>
  <c r="AH42" i="13" s="1"/>
  <c r="AI42" i="13" s="1"/>
  <c r="AK42" i="13" s="1"/>
  <c r="AF42" i="13"/>
  <c r="AA42" i="13"/>
  <c r="AC42" i="13" s="1"/>
  <c r="AD42" i="13" s="1"/>
  <c r="X42" i="13"/>
  <c r="Y42" i="13" s="1"/>
  <c r="Z42" i="13" s="1"/>
  <c r="V42" i="13"/>
  <c r="U42" i="13"/>
  <c r="AD35" i="13"/>
  <c r="V35" i="13"/>
  <c r="AD34" i="13"/>
  <c r="V34" i="13"/>
  <c r="AD32" i="13"/>
  <c r="V32" i="13"/>
  <c r="AD31" i="13"/>
  <c r="V31" i="13"/>
  <c r="AD30" i="13"/>
  <c r="V30" i="13"/>
  <c r="AD29" i="13"/>
  <c r="V29" i="13"/>
  <c r="S27" i="13"/>
  <c r="S26" i="13"/>
  <c r="AG18" i="13"/>
  <c r="AP15" i="13"/>
  <c r="AP14" i="13"/>
  <c r="AP13" i="13"/>
  <c r="AP12" i="13"/>
  <c r="AP11" i="13"/>
  <c r="AP10" i="13"/>
  <c r="AP9" i="13"/>
  <c r="AG9" i="13"/>
  <c r="Y9" i="13"/>
  <c r="AP8" i="13"/>
  <c r="AP7" i="13"/>
  <c r="J7" i="13"/>
  <c r="AP6" i="13"/>
  <c r="I6" i="13"/>
  <c r="S6" i="13" s="1"/>
  <c r="AP5" i="13"/>
  <c r="AD5" i="13"/>
  <c r="S5" i="13"/>
  <c r="AP4" i="13"/>
  <c r="AD4" i="13"/>
  <c r="S4" i="13"/>
  <c r="AP3" i="13"/>
  <c r="AD3" i="13"/>
  <c r="S3" i="13"/>
  <c r="AP2" i="13"/>
  <c r="AD2" i="13"/>
  <c r="S2" i="13"/>
  <c r="G17" i="12"/>
  <c r="E16" i="12"/>
  <c r="G14" i="12"/>
  <c r="E13" i="12"/>
  <c r="D6" i="12"/>
  <c r="V190" i="11"/>
  <c r="N175" i="11"/>
  <c r="N170" i="11"/>
  <c r="N164" i="11"/>
  <c r="N153" i="11"/>
  <c r="N148" i="11"/>
  <c r="N142" i="11"/>
  <c r="R127" i="11"/>
  <c r="Q127" i="11"/>
  <c r="Q118" i="11"/>
  <c r="H117" i="11"/>
  <c r="H116" i="11"/>
  <c r="H115" i="11"/>
  <c r="Q109" i="11"/>
  <c r="Q106" i="11"/>
  <c r="H105" i="11"/>
  <c r="H104" i="11"/>
  <c r="H103" i="11"/>
  <c r="F97" i="11"/>
  <c r="AD91" i="11"/>
  <c r="AD85" i="11"/>
  <c r="AD80" i="11"/>
  <c r="AD72" i="11"/>
  <c r="F69" i="11"/>
  <c r="P60" i="11"/>
  <c r="I25" i="11"/>
  <c r="I19" i="11"/>
  <c r="O14" i="11"/>
  <c r="M14" i="11" a="1"/>
  <c r="M14" i="11"/>
  <c r="F14" i="11"/>
  <c r="E14" i="11"/>
  <c r="G13" i="11"/>
  <c r="E13" i="11"/>
  <c r="G15" i="10"/>
  <c r="E5" i="10"/>
  <c r="E11" i="9"/>
  <c r="D7" i="9"/>
  <c r="F13" i="8"/>
  <c r="E13" i="8"/>
  <c r="F8" i="8"/>
  <c r="E8" i="8"/>
  <c r="D5" i="8"/>
  <c r="D4" i="8"/>
  <c r="D53" i="7"/>
  <c r="D52" i="7"/>
  <c r="G50" i="7"/>
  <c r="E45" i="7"/>
  <c r="G44" i="7"/>
  <c r="E43" i="7"/>
  <c r="G42" i="7"/>
  <c r="E42" i="7"/>
  <c r="G38" i="7"/>
  <c r="E38" i="7"/>
  <c r="E37" i="7"/>
  <c r="E36" i="7"/>
  <c r="G35" i="7"/>
  <c r="E35" i="7"/>
  <c r="G34" i="7"/>
  <c r="E34" i="7"/>
  <c r="G33" i="7"/>
  <c r="E33" i="7"/>
  <c r="E32" i="7"/>
  <c r="A32" i="7"/>
  <c r="D32" i="7" s="1"/>
  <c r="G28" i="7"/>
  <c r="G27" i="7"/>
  <c r="G26" i="7"/>
  <c r="E18" i="7"/>
  <c r="G17" i="7"/>
  <c r="E17" i="7"/>
  <c r="G16" i="7"/>
  <c r="E16" i="7"/>
  <c r="F15" i="7"/>
  <c r="F14" i="7"/>
  <c r="G13" i="7"/>
  <c r="E13" i="7"/>
  <c r="E12" i="7"/>
  <c r="F11" i="7"/>
  <c r="D5" i="7"/>
  <c r="D4" i="7"/>
  <c r="D5" i="6"/>
  <c r="AQ116" i="5"/>
  <c r="AP116" i="5"/>
  <c r="S48" i="54" s="1"/>
  <c r="K52" i="54" s="1"/>
  <c r="S52" i="54" s="1"/>
  <c r="AO116" i="5"/>
  <c r="S47" i="54" s="1"/>
  <c r="AN116" i="5"/>
  <c r="S46" i="54" s="1"/>
  <c r="AM116" i="5"/>
  <c r="AL116" i="5"/>
  <c r="AD48" i="54" s="1"/>
  <c r="AK116" i="5"/>
  <c r="AD47" i="54" s="1"/>
  <c r="AJ116" i="5"/>
  <c r="AD46" i="54" s="1"/>
  <c r="AI116" i="5"/>
  <c r="AH116" i="5"/>
  <c r="AQ111" i="5"/>
  <c r="AP111" i="5"/>
  <c r="S43" i="53" s="1"/>
  <c r="I44" i="53" s="1"/>
  <c r="AO111" i="5"/>
  <c r="S42" i="53" s="1"/>
  <c r="AN111" i="5"/>
  <c r="S41" i="53" s="1"/>
  <c r="AM111" i="5"/>
  <c r="AL111" i="5"/>
  <c r="AC43" i="53" s="1"/>
  <c r="AK111" i="5"/>
  <c r="AC42" i="53" s="1"/>
  <c r="AJ111" i="5"/>
  <c r="AC41" i="53" s="1"/>
  <c r="AI111" i="5"/>
  <c r="AH111" i="5"/>
  <c r="AQ106" i="5"/>
  <c r="AP106" i="5"/>
  <c r="S43" i="52" s="1"/>
  <c r="I44" i="52" s="1"/>
  <c r="AO106" i="5"/>
  <c r="S42" i="52" s="1"/>
  <c r="AN106" i="5"/>
  <c r="S41" i="52" s="1"/>
  <c r="AM106" i="5"/>
  <c r="AL106" i="5"/>
  <c r="AC43" i="52" s="1"/>
  <c r="AK106" i="5"/>
  <c r="AC42" i="52" s="1"/>
  <c r="AJ106" i="5"/>
  <c r="AC41" i="52" s="1"/>
  <c r="AI106" i="5"/>
  <c r="AH106" i="5"/>
  <c r="AQ100" i="5"/>
  <c r="AP100" i="5"/>
  <c r="S48" i="51" s="1"/>
  <c r="K52" i="51" s="1"/>
  <c r="S52" i="51" s="1"/>
  <c r="AO100" i="5"/>
  <c r="S47" i="51" s="1"/>
  <c r="AN100" i="5"/>
  <c r="S46" i="51" s="1"/>
  <c r="AM100" i="5"/>
  <c r="AL100" i="5"/>
  <c r="AD48" i="51" s="1"/>
  <c r="AK100" i="5"/>
  <c r="AD47" i="51" s="1"/>
  <c r="AJ100" i="5"/>
  <c r="AD46" i="51" s="1"/>
  <c r="AI100" i="5"/>
  <c r="AH100" i="5"/>
  <c r="AQ95" i="5"/>
  <c r="AP95" i="5"/>
  <c r="AO95" i="5"/>
  <c r="AN95" i="5"/>
  <c r="AM95" i="5"/>
  <c r="AL95" i="5"/>
  <c r="AK95" i="5"/>
  <c r="AJ95" i="5"/>
  <c r="AI95" i="5"/>
  <c r="AH95" i="5"/>
  <c r="AQ90" i="5"/>
  <c r="AP90" i="5"/>
  <c r="AO90" i="5"/>
  <c r="AN90" i="5"/>
  <c r="AM90" i="5"/>
  <c r="AL90" i="5"/>
  <c r="AK90" i="5"/>
  <c r="AJ90" i="5"/>
  <c r="AI90" i="5"/>
  <c r="AH90" i="5"/>
  <c r="AQ84" i="5"/>
  <c r="AP84" i="5"/>
  <c r="S48" i="39" s="1"/>
  <c r="K52" i="39" s="1"/>
  <c r="S52" i="39" s="1"/>
  <c r="AO84" i="5"/>
  <c r="S47" i="39" s="1"/>
  <c r="AN84" i="5"/>
  <c r="S46" i="39" s="1"/>
  <c r="AM84" i="5"/>
  <c r="AL84" i="5"/>
  <c r="AD48" i="39" s="1"/>
  <c r="AK84" i="5"/>
  <c r="AD47" i="39" s="1"/>
  <c r="AJ84" i="5"/>
  <c r="AD46" i="39" s="1"/>
  <c r="AI84" i="5"/>
  <c r="AH84" i="5"/>
  <c r="AQ79" i="5"/>
  <c r="AP79" i="5"/>
  <c r="S43" i="38" s="1"/>
  <c r="I44" i="38" s="1"/>
  <c r="AO79" i="5"/>
  <c r="S42" i="38" s="1"/>
  <c r="AN79" i="5"/>
  <c r="S41" i="38" s="1"/>
  <c r="AM79" i="5"/>
  <c r="AL79" i="5"/>
  <c r="AC43" i="38" s="1"/>
  <c r="AK79" i="5"/>
  <c r="AC42" i="38" s="1"/>
  <c r="AJ79" i="5"/>
  <c r="AC41" i="38" s="1"/>
  <c r="AI79" i="5"/>
  <c r="AH79" i="5"/>
  <c r="AQ74" i="5"/>
  <c r="AP74" i="5"/>
  <c r="S43" i="37" s="1"/>
  <c r="I44" i="37" s="1"/>
  <c r="AO74" i="5"/>
  <c r="S42" i="37" s="1"/>
  <c r="AN74" i="5"/>
  <c r="S41" i="37" s="1"/>
  <c r="AM74" i="5"/>
  <c r="AL74" i="5"/>
  <c r="AC43" i="37" s="1"/>
  <c r="AK74" i="5"/>
  <c r="AC42" i="37" s="1"/>
  <c r="AJ74" i="5"/>
  <c r="AC41" i="37" s="1"/>
  <c r="AI74" i="5"/>
  <c r="AH74" i="5"/>
  <c r="E38" i="34" s="1"/>
  <c r="AQ69" i="5"/>
  <c r="AP69" i="5"/>
  <c r="S43" i="36" s="1"/>
  <c r="I44" i="36" s="1"/>
  <c r="AO69" i="5"/>
  <c r="S42" i="36" s="1"/>
  <c r="AN69" i="5"/>
  <c r="S41" i="36" s="1"/>
  <c r="AM69" i="5"/>
  <c r="AL69" i="5"/>
  <c r="AC43" i="36" s="1"/>
  <c r="AK69" i="5"/>
  <c r="AC42" i="36" s="1"/>
  <c r="AJ69" i="5"/>
  <c r="AC41" i="36" s="1"/>
  <c r="AI69" i="5"/>
  <c r="AH69" i="5"/>
  <c r="AQ64" i="5"/>
  <c r="AP64" i="5"/>
  <c r="S43" i="35" s="1"/>
  <c r="I44" i="35" s="1"/>
  <c r="AO64" i="5"/>
  <c r="S42" i="35" s="1"/>
  <c r="AN64" i="5"/>
  <c r="S41" i="35" s="1"/>
  <c r="AM64" i="5"/>
  <c r="AL64" i="5"/>
  <c r="AC43" i="35" s="1"/>
  <c r="AK64" i="5"/>
  <c r="AC42" i="35" s="1"/>
  <c r="AJ64" i="5"/>
  <c r="AC41" i="35" s="1"/>
  <c r="AI64" i="5"/>
  <c r="AH64" i="5"/>
  <c r="AQ48" i="5"/>
  <c r="S48" i="20" s="1"/>
  <c r="AP48" i="5"/>
  <c r="AO48" i="5"/>
  <c r="S46" i="20" s="1"/>
  <c r="AN48" i="5"/>
  <c r="S45" i="20" s="1"/>
  <c r="AM48" i="5"/>
  <c r="AB48" i="20" s="1"/>
  <c r="AL48" i="5"/>
  <c r="AB47" i="20" s="1"/>
  <c r="AK48" i="5"/>
  <c r="AB46" i="20" s="1"/>
  <c r="AJ48" i="5"/>
  <c r="AB45" i="20" s="1"/>
  <c r="AI48" i="5"/>
  <c r="AH48" i="5"/>
  <c r="AQ43" i="5"/>
  <c r="AP43" i="5"/>
  <c r="S45" i="15" s="1"/>
  <c r="AO43" i="5"/>
  <c r="S44" i="15" s="1"/>
  <c r="AN43" i="5"/>
  <c r="S43" i="15" s="1"/>
  <c r="AM43" i="5"/>
  <c r="AD46" i="15" s="1"/>
  <c r="AL43" i="5"/>
  <c r="AD45" i="15" s="1"/>
  <c r="AK43" i="5"/>
  <c r="AD44" i="15" s="1"/>
  <c r="AJ43" i="5"/>
  <c r="AD43" i="15" s="1"/>
  <c r="AI43" i="5"/>
  <c r="AH43" i="5"/>
  <c r="AQ38" i="5"/>
  <c r="S46" i="18" s="1"/>
  <c r="AP38" i="5"/>
  <c r="S45" i="18" s="1"/>
  <c r="AO38" i="5"/>
  <c r="S44" i="18" s="1"/>
  <c r="AN38" i="5"/>
  <c r="S43" i="18" s="1"/>
  <c r="AM38" i="5"/>
  <c r="AD46" i="18" s="1"/>
  <c r="AL38" i="5"/>
  <c r="AD45" i="18" s="1"/>
  <c r="AK38" i="5"/>
  <c r="AJ38" i="5"/>
  <c r="AI38" i="5"/>
  <c r="AH38" i="5"/>
  <c r="AQ33" i="5"/>
  <c r="S46" i="17" s="1"/>
  <c r="AP33" i="5"/>
  <c r="S45" i="17" s="1"/>
  <c r="AO33" i="5"/>
  <c r="S44" i="17" s="1"/>
  <c r="AN33" i="5"/>
  <c r="S43" i="17" s="1"/>
  <c r="AM33" i="5"/>
  <c r="AD46" i="17" s="1"/>
  <c r="AL33" i="5"/>
  <c r="AD45" i="17" s="1"/>
  <c r="AK33" i="5"/>
  <c r="AD44" i="17" s="1"/>
  <c r="AJ33" i="5"/>
  <c r="AI33" i="5"/>
  <c r="AH33" i="5"/>
  <c r="AQ28" i="5"/>
  <c r="U52" i="19" s="1"/>
  <c r="I53" i="19" s="1"/>
  <c r="J54" i="19" s="1"/>
  <c r="AP28" i="5"/>
  <c r="AO28" i="5"/>
  <c r="U50" i="19" s="1"/>
  <c r="AN28" i="5"/>
  <c r="U49" i="19" s="1"/>
  <c r="AM28" i="5"/>
  <c r="AG52" i="19" s="1"/>
  <c r="AL28" i="5"/>
  <c r="AG51" i="19" s="1"/>
  <c r="AK28" i="5"/>
  <c r="AG50" i="19" s="1"/>
  <c r="AJ28" i="5"/>
  <c r="AG49" i="19" s="1"/>
  <c r="AI28" i="5"/>
  <c r="AH28" i="5"/>
  <c r="AQ23" i="5"/>
  <c r="S46" i="16" s="1"/>
  <c r="AP23" i="5"/>
  <c r="L21" i="24" s="1"/>
  <c r="AO23" i="5"/>
  <c r="AN23" i="5"/>
  <c r="L19" i="24" s="1"/>
  <c r="AM23" i="5"/>
  <c r="O22" i="24" s="1"/>
  <c r="AL23" i="5"/>
  <c r="O21" i="24" s="1"/>
  <c r="AK23" i="5"/>
  <c r="AJ23" i="5"/>
  <c r="O19" i="24" s="1"/>
  <c r="AI23" i="5"/>
  <c r="AH23" i="5"/>
  <c r="AQ18" i="5"/>
  <c r="S46" i="14" s="1"/>
  <c r="I47" i="14" s="1"/>
  <c r="AP18" i="5"/>
  <c r="S45" i="14" s="1"/>
  <c r="AO18" i="5"/>
  <c r="AN18" i="5"/>
  <c r="AM18" i="5"/>
  <c r="AD46" i="14" s="1"/>
  <c r="AL18" i="5"/>
  <c r="AK18" i="5"/>
  <c r="AD44" i="14" s="1"/>
  <c r="AJ18" i="5"/>
  <c r="AD43" i="14" s="1"/>
  <c r="AI18" i="5"/>
  <c r="AH18" i="5"/>
  <c r="AQ13" i="5"/>
  <c r="AP13" i="5"/>
  <c r="S45" i="13" s="1"/>
  <c r="AO13" i="5"/>
  <c r="S44" i="13" s="1"/>
  <c r="AN13" i="5"/>
  <c r="S43" i="13" s="1"/>
  <c r="AM13" i="5"/>
  <c r="AD46" i="13" s="1"/>
  <c r="AL13" i="5"/>
  <c r="AD45" i="13" s="1"/>
  <c r="AK13" i="5"/>
  <c r="AD44" i="13" s="1"/>
  <c r="AJ13" i="5"/>
  <c r="AD43" i="13" s="1"/>
  <c r="AI13" i="5"/>
  <c r="AH13" i="5"/>
  <c r="E176" i="34" s="1"/>
  <c r="D6" i="5"/>
  <c r="D5" i="5"/>
  <c r="R14" i="4"/>
  <c r="Q14" i="4"/>
  <c r="P14" i="4"/>
  <c r="R13" i="4"/>
  <c r="H11" i="32" s="1"/>
  <c r="Q13" i="4"/>
  <c r="E13" i="4"/>
  <c r="P13" i="4" s="1"/>
  <c r="E7" i="4"/>
  <c r="D5" i="4"/>
  <c r="O13" i="3"/>
  <c r="M13" i="3" a="1"/>
  <c r="M13" i="3" s="1"/>
  <c r="E13" i="3"/>
  <c r="G12" i="3"/>
  <c r="E12" i="3"/>
  <c r="E4" i="3"/>
  <c r="E59" i="2"/>
  <c r="E49" i="2"/>
  <c r="E41" i="2"/>
  <c r="F25" i="2"/>
  <c r="E22" i="2"/>
  <c r="E21" i="2"/>
  <c r="F20" i="2"/>
  <c r="E3" i="2"/>
  <c r="E2" i="2"/>
  <c r="M10" i="65"/>
  <c r="AL7" i="53"/>
  <c r="AL46" i="49"/>
  <c r="P11" i="66"/>
  <c r="K9" i="64"/>
  <c r="AL46" i="52"/>
  <c r="AL7" i="50"/>
  <c r="P2" i="66"/>
  <c r="K2" i="64"/>
  <c r="AL46" i="50"/>
  <c r="AL7" i="49"/>
  <c r="AL46" i="53"/>
  <c r="AL7" i="52"/>
  <c r="AL46" i="38"/>
  <c r="AL7" i="37"/>
  <c r="AL46" i="36"/>
  <c r="AL7" i="38"/>
  <c r="M2" i="65"/>
  <c r="AL46" i="37"/>
  <c r="AL46" i="35"/>
  <c r="AL7" i="36"/>
  <c r="AL7" i="35"/>
  <c r="L21" i="27"/>
  <c r="Y25" i="26"/>
  <c r="Y25" i="25"/>
  <c r="Y25" i="24"/>
  <c r="Y23" i="27"/>
  <c r="L20" i="27"/>
  <c r="L23" i="27"/>
  <c r="L19" i="27"/>
  <c r="AR56" i="19"/>
  <c r="AR55" i="19"/>
  <c r="AN8" i="15"/>
  <c r="AN49" i="14"/>
  <c r="AN8" i="13"/>
  <c r="J13" i="3"/>
  <c r="AV51" i="20"/>
  <c r="AV8" i="20"/>
  <c r="AN49" i="18"/>
  <c r="AN49" i="17"/>
  <c r="AN49" i="16"/>
  <c r="AN49" i="15"/>
  <c r="AN8" i="14"/>
  <c r="AN49" i="13"/>
  <c r="J14" i="11"/>
  <c r="L22" i="27"/>
  <c r="AR8" i="19"/>
  <c r="AN8" i="18"/>
  <c r="AN8" i="17"/>
  <c r="AN8" i="16"/>
  <c r="U54" i="19" l="1"/>
  <c r="K55" i="19"/>
  <c r="F73" i="34"/>
  <c r="F112" i="34"/>
  <c r="F151" i="34"/>
  <c r="F32" i="34"/>
  <c r="F190" i="34"/>
  <c r="F159" i="34"/>
  <c r="F198" i="34"/>
  <c r="F81" i="34"/>
  <c r="F40" i="34"/>
  <c r="F120" i="34"/>
  <c r="F202" i="34"/>
  <c r="F44" i="34"/>
  <c r="F85" i="34"/>
  <c r="F124" i="34"/>
  <c r="F163" i="34"/>
  <c r="F132" i="34"/>
  <c r="F171" i="34"/>
  <c r="F52" i="34"/>
  <c r="F210" i="34"/>
  <c r="F93" i="34"/>
  <c r="I47" i="16"/>
  <c r="J48" i="16"/>
  <c r="J48" i="17"/>
  <c r="I47" i="17"/>
  <c r="S7" i="13"/>
  <c r="K8" i="13"/>
  <c r="S8" i="13" s="1"/>
  <c r="K8" i="14"/>
  <c r="S8" i="14" s="1"/>
  <c r="S7" i="14"/>
  <c r="K8" i="18"/>
  <c r="S8" i="18" s="1"/>
  <c r="S7" i="18"/>
  <c r="K8" i="19"/>
  <c r="U7" i="19"/>
  <c r="L20" i="24"/>
  <c r="S44" i="16"/>
  <c r="F116" i="34"/>
  <c r="F36" i="34"/>
  <c r="F155" i="34"/>
  <c r="F194" i="34"/>
  <c r="F77" i="34"/>
  <c r="F89" i="34"/>
  <c r="F128" i="34"/>
  <c r="F167" i="34"/>
  <c r="F48" i="34"/>
  <c r="F206" i="34"/>
  <c r="S47" i="13"/>
  <c r="S7" i="17"/>
  <c r="K8" i="17"/>
  <c r="S8" i="17" s="1"/>
  <c r="K7" i="44"/>
  <c r="J10" i="43"/>
  <c r="H23" i="41"/>
  <c r="J25" i="40"/>
  <c r="J10" i="42"/>
  <c r="I9" i="32"/>
  <c r="K26" i="33"/>
  <c r="K9" i="31"/>
  <c r="S47" i="14"/>
  <c r="J48" i="14"/>
  <c r="F143" i="34"/>
  <c r="F182" i="34"/>
  <c r="F65" i="34"/>
  <c r="F24" i="34"/>
  <c r="F104" i="34"/>
  <c r="J48" i="18"/>
  <c r="I47" i="18"/>
  <c r="J50" i="20"/>
  <c r="K51" i="20"/>
  <c r="S51" i="20" s="1"/>
  <c r="I49" i="20"/>
  <c r="D35" i="7"/>
  <c r="D33" i="7"/>
  <c r="D34" i="7"/>
  <c r="D36" i="7"/>
  <c r="D37" i="7" s="1"/>
  <c r="D38" i="7" s="1"/>
  <c r="J48" i="15"/>
  <c r="S47" i="15"/>
  <c r="S7" i="16"/>
  <c r="K8" i="16"/>
  <c r="S8" i="16" s="1"/>
  <c r="B34" i="40"/>
  <c r="L33" i="40"/>
  <c r="F100" i="34"/>
  <c r="F139" i="34"/>
  <c r="F20" i="34"/>
  <c r="F178" i="34"/>
  <c r="F61" i="34"/>
  <c r="O20" i="24"/>
  <c r="AD44" i="16"/>
  <c r="F186" i="34"/>
  <c r="F28" i="34"/>
  <c r="F69" i="34"/>
  <c r="F108" i="34"/>
  <c r="F147" i="34"/>
  <c r="I10" i="43"/>
  <c r="H14" i="41"/>
  <c r="I10" i="42"/>
  <c r="I7" i="44"/>
  <c r="I25" i="40"/>
  <c r="I9" i="31"/>
  <c r="H9" i="32"/>
  <c r="I26" i="33"/>
  <c r="K49" i="13"/>
  <c r="S49" i="13" s="1"/>
  <c r="S48" i="13"/>
  <c r="S6" i="14"/>
  <c r="H24" i="41"/>
  <c r="J11" i="43"/>
  <c r="J11" i="42"/>
  <c r="J26" i="40"/>
  <c r="K8" i="44"/>
  <c r="K10" i="31"/>
  <c r="I10" i="32"/>
  <c r="E180" i="34"/>
  <c r="E141" i="34"/>
  <c r="E102" i="34"/>
  <c r="E63" i="34"/>
  <c r="E22" i="34"/>
  <c r="E184" i="34"/>
  <c r="E145" i="34"/>
  <c r="E106" i="34"/>
  <c r="E67" i="34"/>
  <c r="E26" i="34"/>
  <c r="E188" i="34"/>
  <c r="E149" i="34"/>
  <c r="E110" i="34"/>
  <c r="E71" i="34"/>
  <c r="E192" i="34"/>
  <c r="E153" i="34"/>
  <c r="E114" i="34"/>
  <c r="E75" i="34"/>
  <c r="E34" i="34"/>
  <c r="S44" i="35"/>
  <c r="J45" i="35"/>
  <c r="J45" i="37"/>
  <c r="S44" i="37"/>
  <c r="S41" i="50"/>
  <c r="S41" i="49"/>
  <c r="E204" i="34"/>
  <c r="E165" i="34"/>
  <c r="E126" i="34"/>
  <c r="E87" i="34"/>
  <c r="I11" i="43"/>
  <c r="I8" i="44"/>
  <c r="I11" i="42"/>
  <c r="H15" i="41"/>
  <c r="I26" i="40"/>
  <c r="I27" i="33"/>
  <c r="I10" i="31"/>
  <c r="H10" i="32"/>
  <c r="K9" i="44"/>
  <c r="J12" i="43"/>
  <c r="H25" i="41"/>
  <c r="J27" i="40"/>
  <c r="J12" i="42"/>
  <c r="K28" i="33"/>
  <c r="K11" i="31"/>
  <c r="I11" i="32"/>
  <c r="F176" i="34"/>
  <c r="F137" i="34"/>
  <c r="F98" i="34"/>
  <c r="F59" i="34"/>
  <c r="F18" i="34"/>
  <c r="F180" i="34"/>
  <c r="F141" i="34"/>
  <c r="F102" i="34"/>
  <c r="F63" i="34"/>
  <c r="F184" i="34"/>
  <c r="F145" i="34"/>
  <c r="F106" i="34"/>
  <c r="F67" i="34"/>
  <c r="F26" i="34"/>
  <c r="F188" i="34"/>
  <c r="F149" i="34"/>
  <c r="F110" i="34"/>
  <c r="F71" i="34"/>
  <c r="F30" i="34"/>
  <c r="F192" i="34"/>
  <c r="F153" i="34"/>
  <c r="F114" i="34"/>
  <c r="F75" i="34"/>
  <c r="F34" i="34"/>
  <c r="F196" i="34"/>
  <c r="F157" i="34"/>
  <c r="F118" i="34"/>
  <c r="F79" i="34"/>
  <c r="F38" i="34"/>
  <c r="F200" i="34"/>
  <c r="F161" i="34"/>
  <c r="F122" i="34"/>
  <c r="F83" i="34"/>
  <c r="F42" i="34"/>
  <c r="AC42" i="49"/>
  <c r="AC42" i="50"/>
  <c r="S42" i="50"/>
  <c r="S42" i="49"/>
  <c r="F204" i="34"/>
  <c r="F165" i="34"/>
  <c r="F126" i="34"/>
  <c r="F87" i="34"/>
  <c r="F46" i="34"/>
  <c r="F208" i="34"/>
  <c r="F169" i="34"/>
  <c r="F130" i="34"/>
  <c r="F91" i="34"/>
  <c r="F50" i="34"/>
  <c r="F212" i="34"/>
  <c r="F173" i="34"/>
  <c r="F134" i="34"/>
  <c r="F95" i="34"/>
  <c r="F54" i="34"/>
  <c r="S45" i="16"/>
  <c r="AD46" i="16"/>
  <c r="I6" i="20"/>
  <c r="J49" i="21"/>
  <c r="J50" i="21"/>
  <c r="J51" i="21"/>
  <c r="J52" i="21"/>
  <c r="E6" i="22"/>
  <c r="C6" i="22" s="1"/>
  <c r="E21" i="40" s="1"/>
  <c r="E29" i="22"/>
  <c r="C29" i="22" s="1"/>
  <c r="D5" i="29" s="1"/>
  <c r="U14" i="23"/>
  <c r="M14" i="23" s="1"/>
  <c r="E18" i="32" s="1"/>
  <c r="AA15" i="23"/>
  <c r="N15" i="23" s="1"/>
  <c r="J19" i="32" s="1"/>
  <c r="L23" i="25"/>
  <c r="E28" i="28"/>
  <c r="L24" i="26"/>
  <c r="H25" i="26"/>
  <c r="L25" i="26" s="1"/>
  <c r="I12" i="43"/>
  <c r="I12" i="42"/>
  <c r="I9" i="44"/>
  <c r="H16" i="41"/>
  <c r="I27" i="40"/>
  <c r="I28" i="33"/>
  <c r="I11" i="31"/>
  <c r="E178" i="34"/>
  <c r="E139" i="34"/>
  <c r="E100" i="34"/>
  <c r="E61" i="34"/>
  <c r="E20" i="34"/>
  <c r="E182" i="34"/>
  <c r="E143" i="34"/>
  <c r="E104" i="34"/>
  <c r="E65" i="34"/>
  <c r="E24" i="34"/>
  <c r="E186" i="34"/>
  <c r="E147" i="34"/>
  <c r="E108" i="34"/>
  <c r="E69" i="34"/>
  <c r="E28" i="34"/>
  <c r="E190" i="34"/>
  <c r="E151" i="34"/>
  <c r="E112" i="34"/>
  <c r="E73" i="34"/>
  <c r="E32" i="34"/>
  <c r="E194" i="34"/>
  <c r="E155" i="34"/>
  <c r="E116" i="34"/>
  <c r="E77" i="34"/>
  <c r="E36" i="34"/>
  <c r="S44" i="36"/>
  <c r="J45" i="36"/>
  <c r="E198" i="34"/>
  <c r="E159" i="34"/>
  <c r="E120" i="34"/>
  <c r="E81" i="34"/>
  <c r="E40" i="34"/>
  <c r="S44" i="38"/>
  <c r="J45" i="38"/>
  <c r="E202" i="34"/>
  <c r="E163" i="34"/>
  <c r="E124" i="34"/>
  <c r="E85" i="34"/>
  <c r="E44" i="34"/>
  <c r="AC43" i="50"/>
  <c r="AC43" i="49"/>
  <c r="S43" i="49"/>
  <c r="I44" i="49" s="1"/>
  <c r="S43" i="50"/>
  <c r="I44" i="50" s="1"/>
  <c r="E206" i="34"/>
  <c r="E167" i="34"/>
  <c r="E128" i="34"/>
  <c r="E89" i="34"/>
  <c r="E48" i="34"/>
  <c r="E210" i="34"/>
  <c r="E171" i="34"/>
  <c r="E132" i="34"/>
  <c r="E93" i="34"/>
  <c r="E52" i="34"/>
  <c r="J45" i="53"/>
  <c r="S44" i="53"/>
  <c r="K8" i="15"/>
  <c r="S8" i="15" s="1"/>
  <c r="S43" i="16"/>
  <c r="AD45" i="16"/>
  <c r="E32" i="21"/>
  <c r="J46" i="21"/>
  <c r="J47" i="21"/>
  <c r="J45" i="21" s="1"/>
  <c r="E5" i="2" s="1"/>
  <c r="AA13" i="23"/>
  <c r="N13" i="23" s="1"/>
  <c r="J17" i="32" s="1"/>
  <c r="L22" i="24"/>
  <c r="F23" i="24" s="1"/>
  <c r="L24" i="25"/>
  <c r="H25" i="25"/>
  <c r="L25" i="25" s="1"/>
  <c r="L23" i="26"/>
  <c r="E38" i="28"/>
  <c r="K27" i="33"/>
  <c r="E46" i="34"/>
  <c r="L69" i="40"/>
  <c r="E70" i="40"/>
  <c r="L70" i="40" s="1"/>
  <c r="E59" i="34"/>
  <c r="E98" i="34"/>
  <c r="E18" i="34"/>
  <c r="E137" i="34"/>
  <c r="E196" i="34"/>
  <c r="E157" i="34"/>
  <c r="E118" i="34"/>
  <c r="E79" i="34"/>
  <c r="E200" i="34"/>
  <c r="E161" i="34"/>
  <c r="E122" i="34"/>
  <c r="E83" i="34"/>
  <c r="E42" i="34"/>
  <c r="AC41" i="49"/>
  <c r="AC41" i="50"/>
  <c r="E208" i="34"/>
  <c r="E169" i="34"/>
  <c r="E130" i="34"/>
  <c r="E91" i="34"/>
  <c r="E50" i="34"/>
  <c r="J45" i="52"/>
  <c r="S44" i="52"/>
  <c r="E212" i="34"/>
  <c r="E173" i="34"/>
  <c r="E134" i="34"/>
  <c r="E95" i="34"/>
  <c r="E54" i="34"/>
  <c r="O9" i="66"/>
  <c r="G8" i="65"/>
  <c r="F5" i="48"/>
  <c r="D5" i="63"/>
  <c r="J8" i="65"/>
  <c r="E5" i="64"/>
  <c r="E5" i="65"/>
  <c r="E56" i="34"/>
  <c r="L176" i="34"/>
  <c r="L137" i="34"/>
  <c r="L98" i="34"/>
  <c r="L59" i="34"/>
  <c r="E35" i="28"/>
  <c r="E25" i="28"/>
  <c r="E32" i="28"/>
  <c r="E24" i="28"/>
  <c r="E11" i="29"/>
  <c r="E42" i="28"/>
  <c r="E31" i="28"/>
  <c r="AA11" i="23"/>
  <c r="N11" i="23" s="1"/>
  <c r="J15" i="32" s="1"/>
  <c r="U15" i="23"/>
  <c r="M15" i="23" s="1"/>
  <c r="E19" i="32" s="1"/>
  <c r="U148" i="23"/>
  <c r="M148" i="23" s="1"/>
  <c r="E12" i="12" s="1"/>
  <c r="E10" i="29"/>
  <c r="D8" i="34"/>
  <c r="E30" i="34"/>
  <c r="H15" i="47"/>
  <c r="I36" i="47"/>
  <c r="H36" i="47" s="1"/>
  <c r="S6" i="35"/>
  <c r="K7" i="35"/>
  <c r="S7" i="35" s="1"/>
  <c r="J6" i="37"/>
  <c r="S5" i="37"/>
  <c r="S6" i="38"/>
  <c r="K7" i="38"/>
  <c r="S7" i="38" s="1"/>
  <c r="H39" i="47"/>
  <c r="I38" i="47"/>
  <c r="J6" i="50"/>
  <c r="S5" i="50"/>
  <c r="K7" i="52"/>
  <c r="S7" i="52" s="1"/>
  <c r="S6" i="52"/>
  <c r="J6" i="49"/>
  <c r="S5" i="53"/>
  <c r="J6" i="53"/>
  <c r="S45" i="36" l="1"/>
  <c r="K46" i="36"/>
  <c r="S46" i="36" s="1"/>
  <c r="K49" i="16"/>
  <c r="S49" i="16" s="1"/>
  <c r="S48" i="16"/>
  <c r="S6" i="49"/>
  <c r="K7" i="49"/>
  <c r="S7" i="49" s="1"/>
  <c r="S6" i="50"/>
  <c r="K7" i="50"/>
  <c r="S7" i="50" s="1"/>
  <c r="K46" i="53"/>
  <c r="S46" i="53" s="1"/>
  <c r="S45" i="53"/>
  <c r="S44" i="49"/>
  <c r="J45" i="49"/>
  <c r="K46" i="38"/>
  <c r="S46" i="38" s="1"/>
  <c r="S45" i="38"/>
  <c r="K46" i="37"/>
  <c r="S46" i="37" s="1"/>
  <c r="S45" i="37"/>
  <c r="J31" i="40"/>
  <c r="J136" i="40" s="1"/>
  <c r="H31" i="40"/>
  <c r="H136" i="40" s="1"/>
  <c r="K31" i="40"/>
  <c r="K136" i="40" s="1"/>
  <c r="I31" i="40"/>
  <c r="I136" i="40" s="1"/>
  <c r="S48" i="14"/>
  <c r="K49" i="14"/>
  <c r="S49" i="14" s="1"/>
  <c r="B5" i="1"/>
  <c r="D4" i="4"/>
  <c r="K46" i="35"/>
  <c r="S46" i="35" s="1"/>
  <c r="S45" i="35"/>
  <c r="K49" i="15"/>
  <c r="S49" i="15" s="1"/>
  <c r="S48" i="15"/>
  <c r="L56" i="19"/>
  <c r="U56" i="19" s="1"/>
  <c r="U55" i="19"/>
  <c r="G24" i="24"/>
  <c r="L23" i="24"/>
  <c r="S44" i="50"/>
  <c r="J45" i="50"/>
  <c r="H38" i="47"/>
  <c r="I58" i="47"/>
  <c r="H58" i="47" s="1"/>
  <c r="K7" i="53"/>
  <c r="S7" i="53" s="1"/>
  <c r="S6" i="53"/>
  <c r="K7" i="37"/>
  <c r="S7" i="37" s="1"/>
  <c r="S6" i="37"/>
  <c r="S45" i="52"/>
  <c r="K46" i="52"/>
  <c r="S46" i="52" s="1"/>
  <c r="D42" i="7"/>
  <c r="D43" i="7" s="1"/>
  <c r="D44" i="7" s="1"/>
  <c r="D39" i="7"/>
  <c r="D40" i="7"/>
  <c r="K49" i="18"/>
  <c r="S49" i="18" s="1"/>
  <c r="S48" i="18"/>
  <c r="U8" i="19"/>
  <c r="L9" i="19"/>
  <c r="U9" i="19" s="1"/>
  <c r="K49" i="17"/>
  <c r="S49" i="17" s="1"/>
  <c r="S48" i="17"/>
  <c r="K46" i="49" l="1"/>
  <c r="S46" i="49" s="1"/>
  <c r="S45" i="49"/>
  <c r="D50" i="7"/>
  <c r="D47" i="7"/>
  <c r="D46" i="7"/>
  <c r="D45" i="7"/>
  <c r="D48" i="7"/>
  <c r="L24" i="24"/>
  <c r="H25" i="24"/>
  <c r="L25" i="24" s="1"/>
  <c r="S45" i="50"/>
  <c r="K46" i="50"/>
  <c r="S46" i="50" s="1"/>
</calcChain>
</file>

<file path=xl/comments1.xml><?xml version="1.0" encoding="utf-8"?>
<comments xmlns="http://schemas.openxmlformats.org/spreadsheetml/2006/main">
  <authors>
    <author>Author</author>
  </authors>
  <commentList>
    <comment ref="F31" authorId="0">
      <text>
        <r>
          <rPr>
            <sz val="9"/>
            <color indexed="81"/>
            <rFont val="Tahoma"/>
            <family val="2"/>
          </rPr>
          <t>Выбор организации двойным щелчком левой клавиши мыши</t>
        </r>
      </text>
    </comment>
    <comment ref="E37" authorId="0">
      <text>
        <r>
          <rPr>
            <sz val="9"/>
            <color indexed="81"/>
            <rFont val="Arial"/>
            <family val="2"/>
          </rPr>
          <t>ОСН - Общая система налогообложения
УСН - Упрощённая система налогообложения
ЕСХН - Единый сельскохозяйственный налог
ПСН - Патентная система налогообложения
НПД - Налог на профессиональный доход</t>
        </r>
      </text>
    </comment>
  </commentList>
</comments>
</file>

<file path=xl/comments2.xml><?xml version="1.0" encoding="utf-8"?>
<comments xmlns="http://schemas.openxmlformats.org/spreadsheetml/2006/main">
  <authors>
    <author>Author</author>
  </authors>
  <commentList>
    <comment ref="AZ1" authorId="0">
      <text>
        <r>
          <rPr>
            <sz val="9"/>
            <color indexed="81"/>
            <rFont val="Tahoma"/>
            <family val="2"/>
          </rPr>
          <t>Тип организации</t>
        </r>
      </text>
    </comment>
  </commentList>
</comments>
</file>

<file path=xl/comments3.xml><?xml version="1.0" encoding="utf-8"?>
<comments xmlns="http://schemas.openxmlformats.org/spreadsheetml/2006/main">
  <authors>
    <author>Author</author>
  </authors>
  <commentList>
    <comment ref="P2" authorId="0">
      <text>
        <r>
          <rPr>
            <sz val="9"/>
            <color indexed="81"/>
            <rFont val="Arial"/>
            <family val="2"/>
          </rPr>
          <t>сюда же для некоторых формул может входить:
- VOTV
- HOTVSNA</t>
        </r>
      </text>
    </comment>
    <comment ref="U2" authorId="0">
      <text>
        <r>
          <rPr>
            <sz val="9"/>
            <color indexed="81"/>
            <rFont val="Arial"/>
            <family val="2"/>
          </rPr>
          <t>сюда же для некоторых формул может входить:
- VOTV
- HOTVSNA</t>
        </r>
      </text>
    </comment>
  </commentList>
</comments>
</file>

<file path=xl/sharedStrings.xml><?xml version="1.0" encoding="utf-8"?>
<sst xmlns="http://schemas.openxmlformats.org/spreadsheetml/2006/main" count="14325" uniqueCount="3649">
  <si>
    <t xml:space="preserve"> (требуется обновление)</t>
  </si>
  <si>
    <t>Код отчёта: PP108.OPEN.INFO.QUARTER.COLDVSNA.EIAS</t>
  </si>
  <si>
    <t>Версия отчёта: 1.0.2</t>
  </si>
  <si>
    <t>Условные обозначения</t>
  </si>
  <si>
    <t>A</t>
  </si>
  <si>
    <t xml:space="preserve"> - предназначенные для заполнения</t>
  </si>
  <si>
    <t xml:space="preserve"> - ссылки и автозаполняемые поля</t>
  </si>
  <si>
    <t xml:space="preserve"> - с формулами и константами</t>
  </si>
  <si>
    <t xml:space="preserve"> - обязательные для заполнения</t>
  </si>
  <si>
    <t>Работа с реестрами</t>
  </si>
  <si>
    <t>Если в предложенном Вам списке необходимая организация, территория или объект отсутствуют, обновите списки с помощью элементов управления на листах. Если после обновления Вам не удалось найти необходимую позицию в списке, обратитесь к ответственному за поддержание реестра Вашего региона либо в Отдел сопровождения пользователей ЕИАС.</t>
  </si>
  <si>
    <t>Проверка отчёта</t>
  </si>
  <si>
    <t>• При сохранении отчётной формы осуществляется проверка корректности данных_x000D_
• Для каждого сообщения возможны 2 статуса: ошибка и предупреждение_x000D_
• При наличии сообщений со статусом «Ошибка» файл будет отклонён системой и не будет загружен в хранилище данных, сообщения со статусом «Предупреждение» носят информационный характер, и такой файл будет принят к обработке системой</t>
  </si>
  <si>
    <t>Субъект РФ</t>
  </si>
  <si>
    <t>Белгородская область</t>
  </si>
  <si>
    <t>Состав раскрываемой информации</t>
  </si>
  <si>
    <t>PRICE, REQUEST</t>
  </si>
  <si>
    <t>Начало_x000D_
периода регулирования</t>
  </si>
  <si>
    <t/>
  </si>
  <si>
    <t>Как заполнить?</t>
  </si>
  <si>
    <t>Начало периода регулирования</t>
  </si>
  <si>
    <t>Окончание_x000D_
периода регулирования</t>
  </si>
  <si>
    <t>Окончание периода регулирования</t>
  </si>
  <si>
    <t>ORG</t>
  </si>
  <si>
    <t>Дата_x000D_
предоставления информации</t>
  </si>
  <si>
    <t>Дата предоставления информации</t>
  </si>
  <si>
    <t>BALANCE, QUARTER, TERMS</t>
  </si>
  <si>
    <t>Год</t>
  </si>
  <si>
    <t>Отчётный период (год)</t>
  </si>
  <si>
    <t>QUARTER</t>
  </si>
  <si>
    <t>Квартал</t>
  </si>
  <si>
    <t>I квартал</t>
  </si>
  <si>
    <t>Отчётный период (квартал)</t>
  </si>
  <si>
    <t>Тип отчёта</t>
  </si>
  <si>
    <t>первичное раскрытие информации</t>
  </si>
  <si>
    <t>Дата внесения изменений в информацию, подлежащую раскрытию</t>
  </si>
  <si>
    <t>04.07.2023</t>
  </si>
  <si>
    <t>Отображается, если тип отчёта - изменение</t>
  </si>
  <si>
    <t>Дата периода регулирования, с которой вводятся изменения в тарифы</t>
  </si>
  <si>
    <t>Данный блок предлагается заполнять из отчётной формы BALANCE.CALC.TARIFF.ххх.хххх</t>
  </si>
  <si>
    <t>Наименование органа регулирования, принявшего решение об утверждении тарифов</t>
  </si>
  <si>
    <t>Источник официального опубликования решения</t>
  </si>
  <si>
    <t>Открывается, если Тип отчёта "изменения в раскрытой ранее информации"</t>
  </si>
  <si>
    <t>Наименование органа регулирования, принявшего решение об изменении тарифов</t>
  </si>
  <si>
    <t>Дата принятия решения об изменении тарифов</t>
  </si>
  <si>
    <t>Номер принятия решения об изменении тарифов</t>
  </si>
  <si>
    <t>Наименование ЮЛ / ИП</t>
  </si>
  <si>
    <t>АО СЗ "КМАпроектжилстрой"</t>
  </si>
  <si>
    <t>Наименование (описание) обособленного подразделения</t>
  </si>
  <si>
    <t>ИНН</t>
  </si>
  <si>
    <t>3128001437</t>
  </si>
  <si>
    <t>КПП</t>
  </si>
  <si>
    <t>312801001</t>
  </si>
  <si>
    <t>Тип теплоснабжающей организации</t>
  </si>
  <si>
    <t>Система налогообложения</t>
  </si>
  <si>
    <t>ОСН</t>
  </si>
  <si>
    <t>Отсутствует Интернет в границах территории МО, где организация осуществляет регулируемые виды деятельности</t>
  </si>
  <si>
    <t>нет</t>
  </si>
  <si>
    <t>Опубликовать индикативный предельный уровень цен на тепловую энергию (мощность)</t>
  </si>
  <si>
    <t>да</t>
  </si>
  <si>
    <t>График поэтапного равномерного доведения предельного уровня цены на тепловую энергию (мощность)</t>
  </si>
  <si>
    <r>
      <t xml:space="preserve">Тариф на горячую воду предлагается </t>
    </r>
    <r>
      <rPr>
        <b/>
        <sz val="9"/>
        <rFont val="Tahoma"/>
        <family val="2"/>
        <charset val="204"/>
      </rPr>
      <t>с (!)</t>
    </r>
    <r>
      <rPr>
        <sz val="9"/>
        <rFont val="Tahoma"/>
        <family val="2"/>
        <charset val="204"/>
      </rPr>
      <t xml:space="preserve"> разбивкой по поставщикам</t>
    </r>
  </si>
  <si>
    <r>
      <t xml:space="preserve">Тариф на горячую воду предлагается </t>
    </r>
    <r>
      <rPr>
        <b/>
        <sz val="9"/>
        <rFont val="Tahoma"/>
        <family val="2"/>
        <charset val="204"/>
      </rPr>
      <t>без (!)</t>
    </r>
    <r>
      <rPr>
        <sz val="9"/>
        <rFont val="Tahoma"/>
        <family val="2"/>
        <charset val="204"/>
      </rPr>
      <t xml:space="preserve"> разбивки на компоненты</t>
    </r>
  </si>
  <si>
    <t>Организация осуществляет поставку товаров (оказание услуг) только по нерегулируемым ценам</t>
  </si>
  <si>
    <t>Регулируемая организация осуществляет сдачу годового бухгалтерского баланса в налоговые органы</t>
  </si>
  <si>
    <t>Дата направления годового бухгалтерского баланса в налоговые органы</t>
  </si>
  <si>
    <t>Превышает ли выручка от регулируемой деятельности 80% совокупной выручки за отчетный год</t>
  </si>
  <si>
    <t>Организация выполняет инвестиционную программу</t>
  </si>
  <si>
    <t>Детализация инвестиционных программ осуществляется</t>
  </si>
  <si>
    <t>Оператор по обращению с твёрдыми коммунальными отходами, осуществляет деятельность по транспортированию твёрдых коммунальных отходов</t>
  </si>
  <si>
    <t>Почтовый адрес регулируемой организации</t>
  </si>
  <si>
    <t>309511, Белгородская обл., г. Старый Оскол, мкр. Олимпийский, 62</t>
  </si>
  <si>
    <t>Фамилия, имя, отчество руководителя</t>
  </si>
  <si>
    <t>Моргунов Сергей Яковлевич</t>
  </si>
  <si>
    <t>Ответственный за заполнение формы</t>
  </si>
  <si>
    <t>Фамилия, имя, отчество</t>
  </si>
  <si>
    <t>Канайчева Анастасия Анатольевна</t>
  </si>
  <si>
    <t>Должность</t>
  </si>
  <si>
    <t>инженер ПТО ОЭХ</t>
  </si>
  <si>
    <t>Контактный телефон</t>
  </si>
  <si>
    <t>(4725) 39-01-49</t>
  </si>
  <si>
    <t>E-mail</t>
  </si>
  <si>
    <t>kan.nastia@mail.ru</t>
  </si>
  <si>
    <t>МР</t>
  </si>
  <si>
    <t>МО</t>
  </si>
  <si>
    <t>ОКТМО</t>
  </si>
  <si>
    <t>Муниципальный район</t>
  </si>
  <si>
    <t>Муниципальное образование</t>
  </si>
  <si>
    <t>№ п/п</t>
  </si>
  <si>
    <t>Наименование</t>
  </si>
  <si>
    <t>3</t>
  </si>
  <si>
    <t>4</t>
  </si>
  <si>
    <t>6</t>
  </si>
  <si>
    <t>7</t>
  </si>
  <si>
    <t>размерженный МР</t>
  </si>
  <si>
    <t>флаг используемости территории на листе Перечень тарифов</t>
  </si>
  <si>
    <t>копия территорий</t>
  </si>
  <si>
    <t>МР (ОКТМО)</t>
  </si>
  <si>
    <t>ter_1</t>
  </si>
  <si>
    <t>280</t>
  </si>
  <si>
    <t>Старооскольский городской округ</t>
  </si>
  <si>
    <t>14740000</t>
  </si>
  <si>
    <t>Добавить МО</t>
  </si>
  <si>
    <t>Добавить территорию оказания услуг</t>
  </si>
  <si>
    <t>Добавить территорию действия тарифа</t>
  </si>
  <si>
    <t>Вид деятельности</t>
  </si>
  <si>
    <t>Дифференциация по территориям</t>
  </si>
  <si>
    <t>Дифференциация по централизованным системам</t>
  </si>
  <si>
    <t>да/нет</t>
  </si>
  <si>
    <t>1</t>
  </si>
  <si>
    <t>2</t>
  </si>
  <si>
    <t>5</t>
  </si>
  <si>
    <t>8</t>
  </si>
  <si>
    <t>ID_DIFF</t>
  </si>
  <si>
    <t>VD</t>
  </si>
  <si>
    <t>AREA</t>
  </si>
  <si>
    <t>SYSTEM</t>
  </si>
  <si>
    <t>Тереховский водозабор</t>
  </si>
  <si>
    <t>diff_1</t>
  </si>
  <si>
    <t>4189671; 4189674; 4189677</t>
  </si>
  <si>
    <t>a</t>
  </si>
  <si>
    <t>×</t>
  </si>
  <si>
    <t>Площадка цем/завода</t>
  </si>
  <si>
    <t>diff_66</t>
  </si>
  <si>
    <t>Добавить централизованную систему</t>
  </si>
  <si>
    <t>Добавить описание территории</t>
  </si>
  <si>
    <t>Добавить вид деятельности</t>
  </si>
  <si>
    <t>Вид тарифа</t>
  </si>
  <si>
    <t>Наименование тарифа</t>
  </si>
  <si>
    <t>Дифференциация по_x000D_
 МО (территориям)</t>
  </si>
  <si>
    <t>Дифференциация по _x000D_
централизованным системам</t>
  </si>
  <si>
    <t>Дифференциация по источникам тепловой энергии</t>
  </si>
  <si>
    <t>Примечание</t>
  </si>
  <si>
    <t>Установлен для организации</t>
  </si>
  <si>
    <t>Описание</t>
  </si>
  <si>
    <t>TER_ID</t>
  </si>
  <si>
    <t>VTAR_ID</t>
  </si>
  <si>
    <t>VD_ID</t>
  </si>
  <si>
    <t>ID_VTAR</t>
  </si>
  <si>
    <t>ID_NTAR</t>
  </si>
  <si>
    <t>ID_TER</t>
  </si>
  <si>
    <t>ID_CS</t>
  </si>
  <si>
    <t>ID_IST_TE</t>
  </si>
  <si>
    <t>ВидТарифа</t>
  </si>
  <si>
    <t>ВидДеятельности</t>
  </si>
  <si>
    <t>НаименованиеТарифа</t>
  </si>
  <si>
    <t>Территория</t>
  </si>
  <si>
    <t>ЦентрализованнаяСистема</t>
  </si>
  <si>
    <t>ИсточникТепловойЭнергии</t>
  </si>
  <si>
    <t>№ п.п НаименованиеТарифа</t>
  </si>
  <si>
    <t>№ п.п Территория</t>
  </si>
  <si>
    <t>№ п.п ЦентрализованнаяСистема</t>
  </si>
  <si>
    <t>№ п.п ИсточникТепловойЭнергии</t>
  </si>
  <si>
    <t>9</t>
  </si>
  <si>
    <t>10</t>
  </si>
  <si>
    <t>11</t>
  </si>
  <si>
    <t>12</t>
  </si>
  <si>
    <t>13</t>
  </si>
  <si>
    <t>14</t>
  </si>
  <si>
    <t>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t>
  </si>
  <si>
    <t>pIns_PT_VTAR_A</t>
  </si>
  <si>
    <t>pt_ntar_1</t>
  </si>
  <si>
    <t>pt_ter_1</t>
  </si>
  <si>
    <t>pt_cs_1</t>
  </si>
  <si>
    <t>pt_ist_te_1</t>
  </si>
  <si>
    <t>Тарифы на тепловую энергию (мощность), поставляемую теплоснабжающими организациями потребителям, другим теплоснабжающим организациям</t>
  </si>
  <si>
    <t>pIns_PT_VTAR_B</t>
  </si>
  <si>
    <t>pt_ntar_2</t>
  </si>
  <si>
    <t>pt_ter_2</t>
  </si>
  <si>
    <t>pt_cs_2</t>
  </si>
  <si>
    <t>pt_ist_te_2</t>
  </si>
  <si>
    <t>Тарифы на теплоноситель, поставляемый теплоснабжающими организациями потребителям, другим теплоснабжающим организациям</t>
  </si>
  <si>
    <t>pIns_PT_VTAR_C</t>
  </si>
  <si>
    <t>pt_ntar_3</t>
  </si>
  <si>
    <t>pt_ter_3</t>
  </si>
  <si>
    <t>pt_cs_3</t>
  </si>
  <si>
    <t>pt_ist_te_3</t>
  </si>
  <si>
    <t>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t>
  </si>
  <si>
    <t>pIns_PT_VTAR_D</t>
  </si>
  <si>
    <t>pt_ntar_4</t>
  </si>
  <si>
    <t>pt_ter_4</t>
  </si>
  <si>
    <t>pt_cs_4</t>
  </si>
  <si>
    <t>pt_ist_te_4</t>
  </si>
  <si>
    <t>Тарифы на услуги по передаче тепловой энергии</t>
  </si>
  <si>
    <t>pIns_PT_VTAR_E1</t>
  </si>
  <si>
    <t>pt_ntar_5</t>
  </si>
  <si>
    <t>pt_ter_5</t>
  </si>
  <si>
    <t>pt_cs_5</t>
  </si>
  <si>
    <t>pt_ist_te_5</t>
  </si>
  <si>
    <t>Тарифы на услуги по передаче теплоносителя</t>
  </si>
  <si>
    <t>pIns_PT_VTAR_E2</t>
  </si>
  <si>
    <t>pt_ntar_6</t>
  </si>
  <si>
    <t>pt_ter_6</t>
  </si>
  <si>
    <t>pt_cs_6</t>
  </si>
  <si>
    <t>pt_ist_te_6</t>
  </si>
  <si>
    <t>Плата за услуги по поддержанию резервной тепловой мощности при отсутствии потребления тепловой энергии</t>
  </si>
  <si>
    <t>pIns_PT_VTAR_F</t>
  </si>
  <si>
    <t>pt_ntar_7</t>
  </si>
  <si>
    <t>pt_ter_7</t>
  </si>
  <si>
    <t>pt_cs_7</t>
  </si>
  <si>
    <t>pt_ist_te_7</t>
  </si>
  <si>
    <t>Плата за подключение (технологическое присоединение) к системе теплоснабжения</t>
  </si>
  <si>
    <t>pIns_PT_VTAR_G</t>
  </si>
  <si>
    <t>pt_ntar_8</t>
  </si>
  <si>
    <t>pt_ter_8</t>
  </si>
  <si>
    <t>pt_cs_8</t>
  </si>
  <si>
    <t>pt_ist_te_8</t>
  </si>
  <si>
    <t>Информация о регулируемых ценах (тарифах) на товары (услуги) единой теплоснабжающей организации в ценовых зонах теплоснабжения включает сведения:</t>
  </si>
  <si>
    <t>- о предельном уровне цены на тепловую энергию (мощность), поставляемую потребителям, об индикативном предельном уровне цены на тепловую энергию (мощность) и о графике поэтапного равномерного доведения предельного уровня цены на тепловую энергию (мощность) (при наличии), определяемых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ПП РФ от 15 декабря 2017 г. № 1562 "Об определении в ценовых зонах теплоснабжения предельного уровня цены на тепловую энергию (мощность), включая индексацию предельного уровня цены на тепловую энергию (мощность), и технико-экономических параметров работы котельных и тепловых сетей, используемых для расчета предельного уровня цены на тепловую энергию (мощность)";</t>
  </si>
  <si>
    <t>-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ФЗ "О теплоснабжении";</t>
  </si>
  <si>
    <t>-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</si>
  <si>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 о плате за подключение (технологическое присоединение) к системе теплоснабжения, применяемой в случае, установленном частью 9 статьи 23.4 ФЗ "О теплоснабжении".</t>
  </si>
  <si>
    <t>Информация о регулируемых ценах (тарифах) на товары (услуги) теплоснабжающей организации и теплосетевой организации в ценовых зонах теплоснабжения включает сведения:</t>
  </si>
  <si>
    <t>- о тарифах на теплоноситель в виде воды, поставляемый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ФЗ "О теплоснабжении";</t>
  </si>
  <si>
    <t>- о тарифах на товары (услуги) в сфере теплоснабжения в случаях, указанных в частях 12.1 - 12.4 статьи 10 ФЗ "О теплоснабжении"</t>
  </si>
  <si>
    <t>Тариф на питьевую воду (питьевое водоснабжение)</t>
  </si>
  <si>
    <t>pIns_PT_VTAR_A_COLDVSNA</t>
  </si>
  <si>
    <t>pt_ntar_9</t>
  </si>
  <si>
    <t>pt_ter_9</t>
  </si>
  <si>
    <t>pt_cs_9</t>
  </si>
  <si>
    <t>Тариф на техническую воду</t>
  </si>
  <si>
    <t>pIns_PT_VTAR_B_COLDVSNA</t>
  </si>
  <si>
    <t>pt_ntar_10</t>
  </si>
  <si>
    <t>pt_ter_10</t>
  </si>
  <si>
    <t>pt_cs_10</t>
  </si>
  <si>
    <t>Тариф на транспортировку воды</t>
  </si>
  <si>
    <t>pIns_PT_VTAR_C_COLDVSNA</t>
  </si>
  <si>
    <t>pt_ntar_11</t>
  </si>
  <si>
    <t>pt_ter_11</t>
  </si>
  <si>
    <t>pt_cs_11</t>
  </si>
  <si>
    <t>Тариф на подвоз воды</t>
  </si>
  <si>
    <t>pIns_PT_VTAR_D_COLDVSNA</t>
  </si>
  <si>
    <t>pt_ntar_12</t>
  </si>
  <si>
    <t>pt_ter_12</t>
  </si>
  <si>
    <t>pt_cs_12</t>
  </si>
  <si>
    <t>Тариф на подключение (технологическое присоединение) к централизованной системе холодного водоснабжения</t>
  </si>
  <si>
    <t>pIns_PT_VTAR_E_COLDVSNA</t>
  </si>
  <si>
    <t>pt_ntar_13</t>
  </si>
  <si>
    <t>pt_ter_13</t>
  </si>
  <si>
    <t>pt_cs_13</t>
  </si>
  <si>
    <t>Тариф на горячую воду (горячее водоснабжение)</t>
  </si>
  <si>
    <t>pIns_PT_VTAR_A_HOTVSNA</t>
  </si>
  <si>
    <t>pt_ntar_14</t>
  </si>
  <si>
    <t>pt_ter_14</t>
  </si>
  <si>
    <t>pt_cs_14</t>
  </si>
  <si>
    <t>Тариф на транспортировку горячей воды</t>
  </si>
  <si>
    <t>pIns_PT_VTAR_B_HOTVSNA</t>
  </si>
  <si>
    <t>pt_ntar_15</t>
  </si>
  <si>
    <t>pt_ter_15</t>
  </si>
  <si>
    <t>pt_cs_15</t>
  </si>
  <si>
    <t>Тариф на подключение (технологическое присоединение) к централизованной системе горячего водоснабжения</t>
  </si>
  <si>
    <t>pIns_PT_VTAR_C_HOTVSNA</t>
  </si>
  <si>
    <t>pt_ntar_16</t>
  </si>
  <si>
    <t>pt_ter_16</t>
  </si>
  <si>
    <t>pt_cs_16</t>
  </si>
  <si>
    <t>Тариф на водоотведение</t>
  </si>
  <si>
    <t>pIns_PT_VTAR_A_VOTV</t>
  </si>
  <si>
    <t>pt_ntar_17</t>
  </si>
  <si>
    <t>pt_ter_17</t>
  </si>
  <si>
    <t>pt_cs_17</t>
  </si>
  <si>
    <t>Тариф на транспортировку сточных вод</t>
  </si>
  <si>
    <t>pIns_PT_VTAR_B_VOTV</t>
  </si>
  <si>
    <t>pt_ntar_18</t>
  </si>
  <si>
    <t>pt_ter_18</t>
  </si>
  <si>
    <t>pt_cs_18</t>
  </si>
  <si>
    <t>Тариф на подключение (технологическое присоединение) к централизованной системе водоотведения</t>
  </si>
  <si>
    <t>pIns_PT_VTAR_C_VOTV</t>
  </si>
  <si>
    <t>pt_ntar_19</t>
  </si>
  <si>
    <t>pt_ter_19</t>
  </si>
  <si>
    <t>pt_cs_19</t>
  </si>
  <si>
    <t>fdif</t>
  </si>
  <si>
    <t>fdif_e</t>
  </si>
  <si>
    <t>fdif_1</t>
  </si>
  <si>
    <t>Дифференциация тарифов в области обращения с твердыми коммунальными отходами</t>
  </si>
  <si>
    <t>Дифференциация по технологическим особенностям</t>
  </si>
  <si>
    <t>Дифференциация по территории оказания услуг</t>
  </si>
  <si>
    <t>Дифференциация по виду твердых коммунальных отходов</t>
  </si>
  <si>
    <t>Дифференциация по классу опасности твердых коммунальных отходов</t>
  </si>
  <si>
    <t>Комментарий</t>
  </si>
  <si>
    <t>Дифференциация, да/нет</t>
  </si>
  <si>
    <t>Значение</t>
  </si>
  <si>
    <t>Тарифы</t>
  </si>
  <si>
    <t>Прочие показатели</t>
  </si>
  <si>
    <t>AREA_ID</t>
  </si>
  <si>
    <t>Оказание услуги по обращению с твердыми коммунальными отходами региональным оператором</t>
  </si>
  <si>
    <t>Единый тариф на услугу регионального оператора по обращению с твердыми коммунальными отходами</t>
  </si>
  <si>
    <t>Тариф на обработку твердых коммунальных отходов</t>
  </si>
  <si>
    <t>Тариф на обезвреживание твердых коммунальных отходов</t>
  </si>
  <si>
    <t>Тариф на захоронение твердых коммунальных отходов</t>
  </si>
  <si>
    <t>Тариф на энергетическую утилизацию</t>
  </si>
  <si>
    <t>Фирменное наименование юридического лица (согласно уставу регулируемой организации)</t>
  </si>
  <si>
    <t>Параметры формы</t>
  </si>
  <si>
    <t>Описание параметров формы</t>
  </si>
  <si>
    <t>Наименование параметра</t>
  </si>
  <si>
    <t>Информация</t>
  </si>
  <si>
    <t>Субъект Российской Федерации</t>
  </si>
  <si>
    <t>Указывается наименование субъекта Российской Федерации</t>
  </si>
  <si>
    <t>x</t>
  </si>
  <si>
    <t>2.2</t>
  </si>
  <si>
    <t>идентификационный номер налогоплательщика (ИНН)</t>
  </si>
  <si>
    <t>Указывается идентификационный номер налогоплательщика.</t>
  </si>
  <si>
    <t>2.3</t>
  </si>
  <si>
    <t>код причины постановки на учет (КПП)</t>
  </si>
  <si>
    <t>Указывается код причины постановки на учет (при наличии).</t>
  </si>
  <si>
    <t>Сведения о присвоении статуса единой теплоснабжающей организации:</t>
  </si>
  <si>
    <t>Информация в строках 5.1 - 5.4 указывается только едиными теплоснабжающими организациями.</t>
  </si>
  <si>
    <t>5.1</t>
  </si>
  <si>
    <t>наименование органа, принявшего решение о присвоении статуса единой теплоснабжающей организации</t>
  </si>
  <si>
    <t>5.2</t>
  </si>
  <si>
    <t>дата решения</t>
  </si>
  <si>
    <t>Дата принятия решения о присвоении статуса единой теплоснабжающей организации указывается в виде «ДД.ММ.ГГГГ».</t>
  </si>
  <si>
    <t>5.3</t>
  </si>
  <si>
    <t>номер решения</t>
  </si>
  <si>
    <t>5.4</t>
  </si>
  <si>
    <t>границы зоны (зон) деятельности</t>
  </si>
  <si>
    <t>Указывается описание зоны (зон) деятельности единой теплоснабжающей организации.</t>
  </si>
  <si>
    <t>Данные должностного лица, ответственного за размещение данных</t>
  </si>
  <si>
    <t>3.1</t>
  </si>
  <si>
    <t>фамилия, имя и отчество должностного лица</t>
  </si>
  <si>
    <t>3.1.1</t>
  </si>
  <si>
    <t>фамилия должностного лица</t>
  </si>
  <si>
    <t>3.1.2</t>
  </si>
  <si>
    <t>имя должностного лица</t>
  </si>
  <si>
    <t>3.1.3</t>
  </si>
  <si>
    <t>отчество должностного лица</t>
  </si>
  <si>
    <t>3.2</t>
  </si>
  <si>
    <t>должность</t>
  </si>
  <si>
    <t>3.3</t>
  </si>
  <si>
    <t>контактный телефон</t>
  </si>
  <si>
    <t>3.4</t>
  </si>
  <si>
    <t>адрес электронной почты</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</si>
  <si>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территория._x000D_
Данные указываются согласно наименованиям адресных объектов в ФГИС ЕИАС.</t>
  </si>
  <si>
    <t>Добавить контактный телефон</t>
  </si>
  <si>
    <t>Указывается при наличии</t>
  </si>
  <si>
    <t>Режим работы</t>
  </si>
  <si>
    <t>Указывается режим работы регулируемой организации. В случае наличия нескольких режимов работы регулируемой организации, информация по каждому из них указывается в отдельной строке.</t>
  </si>
  <si>
    <t>режим работы абонентских отделов</t>
  </si>
  <si>
    <t>Указывается режим работы абонентских отделов регулируемой организации. В случае наличия нескольких абонентских отделов и (или) режимов работы абонентских отделов, информация по каждому из них указывается в отдельной строке.</t>
  </si>
  <si>
    <t>режим работы сбытовых подразделений</t>
  </si>
  <si>
    <t>Указывается режим работы сбытовых подразделений регулируемой организации. В случае наличия нескольких сбытовых подразделений и (или) режимов работы сбытовых подразделений, информация по каждому из них указывается в отдельной строке.</t>
  </si>
  <si>
    <t>режим работы диспетчерских служб</t>
  </si>
  <si>
    <t>Указывается режим работы диспетчерских служб регулируемой организации. В случае наличия нескольких диспетчерских служб и (или) режимов работы диспетчерских служб, информация по каждому из них указывается в отдельной строке.</t>
  </si>
  <si>
    <t>Добавить режим работы</t>
  </si>
  <si>
    <t>В случае наличия дополнительных режимов работы регулируемой организации (подразделений регулируемой организации) информация по каждому из них указывается в отдельной строке.</t>
  </si>
  <si>
    <t>Наличие или отсутствие утвержденной в установленном порядке инвестиционной программы</t>
  </si>
  <si>
    <t>BLOCK_MAIN_INFO_OBJECT_HEAT</t>
  </si>
  <si>
    <t>BLOCK_MAIN_INFO_OBJECT_VOTV</t>
  </si>
  <si>
    <t>BLOCK_MAIN_INFO_OBJECT_COLDVSNA</t>
  </si>
  <si>
    <t>BLOCK_MAIN_INFO_OBJECT_HOTVSNA</t>
  </si>
  <si>
    <t>D:T</t>
  </si>
  <si>
    <t>Протяженность магистральных сетей (в однотрубном исчислении), км.</t>
  </si>
  <si>
    <t>Протяженность разводящих сетей (в однотрубном исчислении), км.</t>
  </si>
  <si>
    <t>Теплоэлектростанции</t>
  </si>
  <si>
    <t>Тепловые станции</t>
  </si>
  <si>
    <t>Котельные</t>
  </si>
  <si>
    <t>Количество центральных тепловых пунктов, шт.</t>
  </si>
  <si>
    <t>Протяженность канализационных сетей (в однотрубном исчислении), км.</t>
  </si>
  <si>
    <t>Количество насосных станций, шт.</t>
  </si>
  <si>
    <t>Количество очистных сооружений, шт.</t>
  </si>
  <si>
    <t>Протяженность водопроводных сетей (в однотрубном исчислении), км</t>
  </si>
  <si>
    <t>Количество скважин, шт.</t>
  </si>
  <si>
    <t>Количество подкачивающих насосных станций, шт.</t>
  </si>
  <si>
    <t>Протяженность сетей горячего водоснабжения (в однотрубном исчислении), км</t>
  </si>
  <si>
    <t>Количество теплоэлектростанций, шт.</t>
  </si>
  <si>
    <t>Установленная электрическая мощность</t>
  </si>
  <si>
    <t>Единицы изменения</t>
  </si>
  <si>
    <t>Установленная тепловая мощность, Гкал/ч</t>
  </si>
  <si>
    <t>Количество тепловых станций, шт.</t>
  </si>
  <si>
    <t>Количество котельных, шт.</t>
  </si>
  <si>
    <t>0</t>
  </si>
  <si>
    <t>Значения протяженности сетей, показателей в блоках "Теплоэлектростанции", "Тепловые станции", "Котельные" (за исключением колонки "Единицы измерения"), количества центральных тепловых пунктов указываются в виде целых и неотрицательных чисел._x000D_
В случае отсутствия тепловых сетей, теплоэлектростанций, тепловых станций, котельных, центральных тепловых пунктов в соответствующей колонке указывается значение 0._x000D_
В колонке "Единицы измерения" в блоке "Теплоэлектростанции" выбирается одно из значений: кВт*ч или МВт._x000D_
В случае оказания услуг в нескольких системах теплоснабжения информация по каждой из них указывается в отдельной строке.</t>
  </si>
  <si>
    <t>Значения протяженности сетей, количества насосных станций, количества очистных сооружений указываются в виде целых и  неотрицательных чисел._x000D_
В случае отсутствия канализационных сетей, насосных станций, очистных сооружений в соответствующей колонке указывается значение 0._x000D_
В случае осуществления регулируемых видов деятельности в нескольких централизованных системах водоотведения информация по каждой из них указывается в отдельной строке._x000D_
В случае осуществления регулируемых видов деятельности с использованием одной централизованной системы водоотведения на территории нескольких субъектов Российской Федерации значение показателя указывается в целом по данной централизованной системе</t>
  </si>
  <si>
    <t>Значения протяженности сетей, количества скважин, количества подкачивающих насосных станций указываются в виде целых и неотрицательных чисел._x000D_
В случае отсутствия водопроводных сетей, скважин, подкачивающих станций в соответствующей колонке указывается значение 0._x000D_
В случае осуществления регулируемых видов деятельности в нескольких централизованных системах холодного водоснабжения информация по каждой из них указывается в отдельной строке._x000D_
В случае осуществления регулируемых видов деятельности с использованием одной централизованной системы холодного водоснабжения на территории нескольких субъектов Российской Федерации значение показателя указывается в целом по данной централизованной системе.</t>
  </si>
  <si>
    <t>Значения протяженности сетей, количества центральных тепловых пунктов указываются в виде целых и неотрицательных чисел._x000D_
В случае отсутствия водопроводных сетей, центральных тепловых пунктов в соответствующей колонке указывается значение 0._x000D_
В случае осуществления регулируемых видов деятельности в нескольких централизованных системах горячего водоснабжения информация по каждой из них указывается в отдельной строке.</t>
  </si>
  <si>
    <t>n</t>
  </si>
  <si>
    <t>64235586; 64235587</t>
  </si>
  <si>
    <t>Добавить вид объекта</t>
  </si>
  <si>
    <t>Форма 2. Виды объектов, используемых для оказания услуг в области обращения с твердыми коммунальными отходами, и их количество</t>
  </si>
  <si>
    <t>Вид объекта, используемых для оказания услуг в области обращения с твердыми коммунальными отходами</t>
  </si>
  <si>
    <t>Количество объектов, используемых для оказания услуг в области обращения с твердыми коммунальными отходами, шт.</t>
  </si>
  <si>
    <t>Значение количества объектов, используемых для оказания услуг в области обращения с твердыми коммунальными отходами, указывается в виде целых и неотрицательных чисел._x000D_
В случае отсутствия объектов того или иного вида, используемых для оказания услуг в области обращения с твердыми коммунальными отходами, указывается значение «0»._x000D_
В случае оказания услуг по нескольким видам деятельности информация по каждому из них указывается отдельно._x000D_
В случае наличия нескольких видов объектов, используемых для оказания услуг в области обращения с твердыми коммунальными отходами, информация по каждому из них указывается отдельно.</t>
  </si>
  <si>
    <t>Информация об отсутствии сети "Интернет" &lt;1&gt;</t>
  </si>
  <si>
    <t>Отсутствует доступ к сети "Интернет"</t>
  </si>
  <si>
    <t>Ссылка на документ</t>
  </si>
  <si>
    <t>В случае отсутствия доступа к сети "Интернет" на территории выбранного муниципального образования в колонке "Отсутствует доступ к сети "Интернет" указывается "Да"._x000D_
В колонке "Ссылка на документ" указывается материал в виде ссылки на документ, подтверждающий отсутствие сети "Интернет" на территории выбранного муниципального образования, предварительно загруженный в хранилище данных ФГИС ЕИАС._x000D_
В случае отсутствия доступа к сети "Интернет" на территории нескольких муниципальных районов (муниципальных образований) информация по каждому из них указывается в отдельной строке.</t>
  </si>
  <si>
    <t>Омский муниципальный район</t>
  </si>
  <si>
    <t>Ачаирское сельское поселение</t>
  </si>
  <si>
    <t>52644404</t>
  </si>
  <si>
    <t>Ачаирское сельское поселение (52644404)</t>
  </si>
  <si>
    <t>et_CHANGE_INFO</t>
  </si>
  <si>
    <t>et_Comm</t>
  </si>
  <si>
    <t>et_TERRITORY_AREA, _MO</t>
  </si>
  <si>
    <t>et_DIFFERENTIATION_VD</t>
  </si>
  <si>
    <t>et_DIFFERENTIATION_AREA</t>
  </si>
  <si>
    <t>et_DIFFERENTIATION_SYSTEM</t>
  </si>
  <si>
    <t>et_ORG_INFO_1</t>
  </si>
  <si>
    <t>et_ORG_INFO_2</t>
  </si>
  <si>
    <t>et_ORG_TERRITORY_MO</t>
  </si>
  <si>
    <t>et_ORG_VD</t>
  </si>
  <si>
    <t>et_ED</t>
  </si>
  <si>
    <t>et_TERMS</t>
  </si>
  <si>
    <t>et_IP_MAIN</t>
  </si>
  <si>
    <t>ip_3</t>
  </si>
  <si>
    <t>Добавить реквизиты</t>
  </si>
  <si>
    <t>et_IP_MAIN_PROPERTY</t>
  </si>
  <si>
    <t>et_IP_DETAILED</t>
  </si>
  <si>
    <t>Добавить источник финансирования</t>
  </si>
  <si>
    <t>Добавить объект инфраструктуры</t>
  </si>
  <si>
    <t>Добавить мероприятие</t>
  </si>
  <si>
    <t>et_IP_DETAILED_OBJECT</t>
  </si>
  <si>
    <t>et_IP_DETAILED_IST_FIN</t>
  </si>
  <si>
    <t>et_IP_DETAILED_EVENT</t>
  </si>
  <si>
    <t>et_QRE</t>
  </si>
  <si>
    <t>Добавить цель</t>
  </si>
  <si>
    <t>et_B_FHD20_1_NOT_HEAT</t>
  </si>
  <si>
    <t>NOTSHOW</t>
  </si>
  <si>
    <t>Территория оказания услуг</t>
  </si>
  <si>
    <t>Централизованная система</t>
  </si>
  <si>
    <t>Информация об объемах товаров и услуг, их стоимости и способах приобретения у организаций, в том числе:</t>
  </si>
  <si>
    <t>Указывается сумма стоимости приобретения товаров и услуг у организаций, сумма оплаты услуг которых превышает 20% суммы расходов на капитальный и текущий ремонт основных производственных средства</t>
  </si>
  <si>
    <t>i</t>
  </si>
  <si>
    <t>отсутствует</t>
  </si>
  <si>
    <t>Добавить поставщика</t>
  </si>
  <si>
    <t>Расходы на услуги производственного характера, выполняемые по договорам с организациями на проведение регламентных работ в рамках технологического процесса. Из них товары и услуги, приобретенные у организаций, сумма оплаты услуг которых превышает 20% суммы расходов по статье:</t>
  </si>
  <si>
    <t>Указывается сумма стоимости приобретения товаров и услуг у организаций, сумма оплаты услуг которых превышает 20% суммы расходов на услуги производственного характера</t>
  </si>
  <si>
    <t>et_B_FHD20_1_HEAT</t>
  </si>
  <si>
    <t>et_B_FHD20_2, _3, _4</t>
  </si>
  <si>
    <t>Итого по поставщику, в том числе</t>
  </si>
  <si>
    <t>х</t>
  </si>
  <si>
    <t>1.1</t>
  </si>
  <si>
    <t>Добавить товар/услугу</t>
  </si>
  <si>
    <t>Добавить способ</t>
  </si>
  <si>
    <t>et_DIFFERENTIATION_TARIFF(_etc)</t>
  </si>
  <si>
    <t>Добавить источник для дифференциации</t>
  </si>
  <si>
    <t>Добавить централизованную систему для дифференциации</t>
  </si>
  <si>
    <t>Добавить территорию для дифференциации</t>
  </si>
  <si>
    <t>Добавить наименование тарифа</t>
  </si>
  <si>
    <t>et_DIFFERENTIATION_TARIFF_NOT_HEAT(_etc)</t>
  </si>
  <si>
    <t>et_DIFFERENTIATION_TKO(_etc)</t>
  </si>
  <si>
    <t>Добавить класс ТКО</t>
  </si>
  <si>
    <t>Добавить вид ТКО</t>
  </si>
  <si>
    <t>Добавить технологическую особенность</t>
  </si>
  <si>
    <t>1.1.1</t>
  </si>
  <si>
    <t>Добавить описание формы публичного договора</t>
  </si>
  <si>
    <t>1.2</t>
  </si>
  <si>
    <t>1.2.1</t>
  </si>
  <si>
    <t>Добавить описание договора</t>
  </si>
  <si>
    <t>1.3</t>
  </si>
  <si>
    <t>сведения о договорах, заключенных в соответствии с частями 2.1 и 2.2 статьи 8 Федерального закона "О теплоснабжении"</t>
  </si>
  <si>
    <t>Статья 8 ФЗ 190-ФЗ_x000D_
2.1. Соглашением сторон договора теплоснабжения и (или) договора поставки тепловой энергии (мощности) и (или) теплоносителя, но не выше цен (тарифов) на соответствующие товары в сфере теплоснабжения, установленных органом регулирования в соответствии с основами ценообразования в сфере теплоснабжения и правилами регулирования цен (тарифов) в сфере теплоснабжения, утвержденными Правительством Российской Федерации, определяются следующие виды цен на товары в сфере теплоснабжения, за исключением тепловой энергии (мощности) и (или) теплоносителя, реализация которых необходима для оказания коммунальных услуг по отоплению и горячему водоснабжению населению и приравненным к нему категориям потребителей:_x000D_
1) цены на тепловую энергию (мощность), производимую и (или) поставляемую с использованием теплоносителя в виде пара теплоснабжающими организациями потребителям, другим теплоснабжающим организациям;_x000D_
2) цены на теплоноситель в виде пара, поставляемый теплоснабжающими организациями потребителям, другим теплоснабжающим организациям;_x000D_
3) цены на тепловую энергию (мощность), теплоноситель, поставляемые теплоснабжающей организацией, владеющей на праве собственности или ином законном основании источником тепловой энергии, потребителю, теплопотребляющие установки которого технологически соединены с этим источником тепловой энергии непосредственно или через тепловую сеть, принадлежащую на праве собственности и (или) ином законном основании указанной теплоснабжающей организации или указанному потребителю, если такие теплопотребляющие установки и такая тепловая сеть не имеют иного технологического соединения с системой теплоснабжения и к тепловым сетям указанного потребителя не присоединены теплопотребляющие установки иных потребителей._x000D_
(часть 2.1 введена Федеральным законом от 01.12.2014 № 404-ФЗ)_x000D_
2.2. С 1 января 2018 года цены, указанные в части 2.1 настоящей статьи, не подлежат регулированию и определяются соглашением сторон договора теплоснабжения и (или) договора поставки тепловой энергии (мощности) и (или) теплоносителя, за исключением случаев:_x000D_
1) реализации тепловой энергии (мощности) и (или) теплоносителя, необходимых для оказания коммунальных услуг по отоплению и горячему водоснабжению населению и приравненным к нему категориям потребителей;_x000D_
2) производства тепловой энергии (мощности), теплоносителя с использованием источника тепловой энергии, установленная мощность которого составляет менее десяти гигакалорий в час, и (или) осуществления поставки теплоснабжающей организацией потребителю тепловой энергии в объеме менее пятидесяти тысяч гигакалорий за 2017 год.</t>
  </si>
  <si>
    <t>Прочие договора</t>
  </si>
  <si>
    <t>2.0</t>
  </si>
  <si>
    <t>Добавить сведения</t>
  </si>
  <si>
    <t>Сведения об условиях договоров на оказание услуг по транспортированию твердых коммунальных отходов</t>
  </si>
  <si>
    <t>2.1</t>
  </si>
  <si>
    <t xml:space="preserve"> Форма договора на оказание услуг</t>
  </si>
  <si>
    <t>2.1.1</t>
  </si>
  <si>
    <t>Указывается форма договора, используемая организацией, в виде ссылки на документ, предварительно загруженный в хранилище файлов ФГИС ЕИАС, либо ссылка на официальный сайт в сети "Интернет", на котором размещена информация._x000D_
В случае наличия нескольких форм таких договоров информация по каждой из них указывается в отдельной строке.</t>
  </si>
  <si>
    <t>Добавить описание формы договора</t>
  </si>
  <si>
    <t>Указывается наименование тарифа в случае утверждения нескольких тарифов._x000D_
В случае наличия нескольких тарифов информация по ним указывается в отдельных строках.</t>
  </si>
  <si>
    <t>Территория действия тарифа</t>
  </si>
  <si>
    <t>Указывается наименование территории действия тарифа при наличии дифференциации тарифа по территориальному признаку._x000D_
В случае дифференциации тарифов по территориальному признаку информация по ним указывается в отдельных строках.</t>
  </si>
  <si>
    <t xml:space="preserve">Наименование системы теплоснабжения </t>
  </si>
  <si>
    <t>Указывается наименование системы теплоснабжения при наличии дифференциации тарифа по системам теплоснабжения._x000D_
В случае дифференциации тарифов по системам теплоснабжения информация по ним указывается в отдельных строках.</t>
  </si>
  <si>
    <t xml:space="preserve">Источник тепловой энергии  </t>
  </si>
  <si>
    <t>Указывается наименование источника тепловой энергии_x000D_
В случае дифференциации тарифов по источникам тепловой энергии информация по ним указывается в отдельных строках.</t>
  </si>
  <si>
    <t>SCHEME</t>
  </si>
  <si>
    <t>Схема подключения теплопотребляющей установки к коллектору источника тепловой энергии</t>
  </si>
  <si>
    <t>Указывается схема подключения теплопотребляющей установки к коллектору источника тепловой энергии только для тарифов на тепловую энергию и за услуги по поддержанию резервной мощности_x000D_
Значение выбирается из перечня:_x000D_
   - без дифференциации_x000D_
   - к коллектору источника тепловой энергии_x000D_
   - к тепловой сети без дополнительного преобразования на тепловых пунктах, эксплуатируемых теплоснабжающей организацией_x000D_
   - к тепловой сети после тепловых пунктов (на тепловых пунктах), эксплуатируемых теплоснабжающей организацией_x000D_
В случае дифференциации тарифов по схемам подключения теплопотребляющей установки к коллектору источника тепловой энергии информация по ним указывается в отдельных строках.</t>
  </si>
  <si>
    <t>GROUP_CONSUMER</t>
  </si>
  <si>
    <t>Группа потребителей</t>
  </si>
  <si>
    <t>Указывается группа потребителей при наличии дифференциации тарифа по группам потребителей._x000D_
Значение выбирается из перечня:_x000D_
   - организации-перепродавцы;_x000D_
   - бюджетные организации;_x000D_
   - население;_x000D_
   - прочие;_x000D_
   - без дифференциации._x000D_
В случае дифференциации тарифов группам потребителей информация по ним указывается в отдельных строках.</t>
  </si>
  <si>
    <t>TN</t>
  </si>
  <si>
    <t>В колонке «Параметр дифференциации тарифов» указывается вид теплоносителя._x000D_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При утверждении двухставочного тарифа колонка «Одноставочный тариф» не заполняется._x000D_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 Информация в колонке «Ставка за содержание тепловой мощности, тыс. руб./Гкал/ч/мес» указывается только для тарифа по поддержанию резервной мощности._x000D_
В случае дифференциации тарифов по периодам действия тарифа информация по ним указывается в отдельных колонках._x000D_
В случае дифференциации тарифов по видам теплоносителя информация по ним указывается в отдельных строках.</t>
  </si>
  <si>
    <t>Добавить вид теплоносителя (параметры теплоносителя)</t>
  </si>
  <si>
    <t>Добавить группу потребителей</t>
  </si>
  <si>
    <t>Добавить схему подключения</t>
  </si>
  <si>
    <t>PERIOD_FROM_FIRST_ROW</t>
  </si>
  <si>
    <t>FLAG_BLOCK_COLUMN</t>
  </si>
  <si>
    <t>SPR</t>
  </si>
  <si>
    <t>FLAG_START_DATE</t>
  </si>
  <si>
    <t>FLAG_ETC_PERIOD</t>
  </si>
  <si>
    <t>FLAG_END_DATE</t>
  </si>
  <si>
    <t>Дата документа об утверждении тарифов</t>
  </si>
  <si>
    <t>Номер документа об утверждении тарифов</t>
  </si>
  <si>
    <t>Дата подачи заявления об утверждении тарифов</t>
  </si>
  <si>
    <t>Номер подачи заявления об утверждении тарифов</t>
  </si>
  <si>
    <t>dp</t>
  </si>
  <si>
    <t>Параметр дифференциации тарифа</t>
  </si>
  <si>
    <t>Величина и срок действия тарифа</t>
  </si>
  <si>
    <t>Наличие других периодов действия тарифа</t>
  </si>
  <si>
    <t>Наличие других сроков действия тарифа</t>
  </si>
  <si>
    <t>Добавить срок действия</t>
  </si>
  <si>
    <t>Одноставочный тариф,_x000D_
руб./Гкал</t>
  </si>
  <si>
    <t>Ставка за содержание тепловой мощности,_x000D_
тыс. руб./Гкал/ч/мес.</t>
  </si>
  <si>
    <t>Двухставочный тариф</t>
  </si>
  <si>
    <t>Срок действия</t>
  </si>
  <si>
    <t>NUM_NTAR</t>
  </si>
  <si>
    <t>NUM_TER</t>
  </si>
  <si>
    <t>NUM_CS</t>
  </si>
  <si>
    <t>NUM_IST_TE</t>
  </si>
  <si>
    <t>NUM_SCHEME</t>
  </si>
  <si>
    <t>NUM_GC</t>
  </si>
  <si>
    <t>NUM_TN</t>
  </si>
  <si>
    <t>ставка за тепловую энергию,_x000D_
руб./Гкал</t>
  </si>
  <si>
    <t>ставка за содержание тепловой мощности,_x000D_
тыс. руб./Гкал/ч/мес</t>
  </si>
  <si>
    <t>дата начала</t>
  </si>
  <si>
    <t>дата окончания</t>
  </si>
  <si>
    <t>&lt;1&gt;</t>
  </si>
  <si>
    <t>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регулирования тарифов, принявшего решение об утверждении тарифа, дата и номер документа об утверждении тарифа, источник официального опубликования решения.</t>
  </si>
  <si>
    <t>По данной форме раскрывается в том числе информация об индикативном предельном уровне цены на тепловую энергию (мощность), которые определены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постановлением Правительства Российской Федерации от 15 декабря 2017 г. № 1562 "Об определении в ценовых зонах теплоснабжения предельного уровня цены на тепловую энергию (мощность), включая индексацию предельного уровня цены на тепловую энергию (мощность), и технико-экономических параметров работы котельных и тепловых сетей, используемых для расчета предельного уровня цены на тепловую энергию (мощность)", о графике поэтапного равномерного доведения предельного уровня цены на тепловую энергию (мощность) до уровня, определяемого в соответствии с указанными Правилами., а также  информация о тарифах на товары (услуги) в сфере теплоснабжения в случаях, указанных в частях 12.1 – 12.4 статьи 10 Федерального закона от 27.07.2010 № 190-ФЗ «О теплоснабжении» (далее – Федеральный закон № 190-ФЗ), теплоснабжающей организации, теплосетевой организации в ценовых зонах теплоснабжения.</t>
  </si>
  <si>
    <t xml:space="preserve">Для каждого вида тарифа в сфере теплоснабжения форма заполняется отдельно. При размещении информации по данной форме дополнительно указывается дата подачи заявления об утверждении тарифа и его номер. </t>
  </si>
  <si>
    <t>По этой форме раскрывается информация о расчетной величине тарифов в сфере теплоснабжения на товары (услуги) в случаях, указанных в частях 12.1 - 12.4 статьи 10 Федерального закона "О теплоснабжении"</t>
  </si>
  <si>
    <t>В случае представления регулируемой организацией по своей инициативе в исполнительный орган субъекта Российской Федерации в области государственного регулирования цен (тарифов) дополнительных документов и материалов к предложению об установлении цен (тарифов) в сфере теплоснабжения указанная в абзаце первом настоящего пункта информация в части, содержащейся в таких дополнительных документах и материалах, раскрывается регулируемой организацией в течение 7 дней со дня их представления</t>
  </si>
  <si>
    <t>Период действия</t>
  </si>
  <si>
    <t xml:space="preserve">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регулирования тарифов, принявшего решение об утверждении тарифа, дата и номер документа об утверждении тарифа, источник официального опубликования решения._x000D_
</t>
  </si>
  <si>
    <t>В колонке «Параметр дифференциации тарифов» указывается вид теплоносителя._x000D_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При утверждении двухставочного тарифа тариф колонка "Одноставочный тариф" не заполняется._x000D_
При подаче утверждении одноставочного тарифа колонки в блоке "Двухставочный тариф" не заполняются.Информация в колонке "Двухставочный тариф" не указывается для тарифа на теплоноситель._x000D_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"Нет".В случае дифференциации тарифов по видам теплоносителя информация по ним указывается в отдельных строках.</t>
  </si>
  <si>
    <t>Для каждого вида тарифа в сфере теплоснабжения форма заполняется отдельно. При размещении информации по данной форме дополнительно указывается дата подачи заявления об утверждении тарифа и его номер.</t>
  </si>
  <si>
    <t>При размещении информации по данной форме дополнительно указываются: наименование органа регулирования тарифов, принявшего решение об утверждении установлении цены (тарифа) в сфере теплоснабжения, реквизиты (дата и номер) решения документа об установлении цены (тарифа), источник официального опубликования решения об установлении цены (тарифа) в сфере теплоснабжения.</t>
  </si>
  <si>
    <t>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Федерального закона № 190-ФЗ, а также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Федерального закона № 190-ФЗ.</t>
  </si>
  <si>
    <t>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Федерального закона № 190-ФЗ.</t>
  </si>
  <si>
    <t>По данной форме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Федерального закона № 190-ФЗ.</t>
  </si>
  <si>
    <t>Указывается вид теплоносителя. 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В случае дифференциации тарифов по видам теплоносителя информация по ним указывается в отдельных строках.</t>
  </si>
  <si>
    <t>В колонке "Параметр дифференциации тарифов" указывается наименование поставщика в случае наличия дифференциации компонента двухставочного тарифа на горячую воду по поставщикам._x000D_
При утверждении двухставочного тарифа колонка "Одноставочный тариф" не заполняется._x000D_
При утверждении одноставочного тарифа колонки в блоке "Двухставочный тариф" не заполняются._x000D_
В случае отсутствия разбивки тарифа на компоненты колонки "Компонент на теплоноситель, руб./куб. м" и "Одноставочный компонент на тепловую энергию, руб/Гкал" не заполняются._x000D_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"Нет"._x000D_
В случае дифференциации тарифов по поставщикам информация по ним указывается в отдельных строках.</t>
  </si>
  <si>
    <t>Добавить наименование поставщика</t>
  </si>
  <si>
    <t>Одноставочный тариф на горячую воду,_x000D_
руб./куб. м</t>
  </si>
  <si>
    <t>Двухкомпонентный тариф на горячую воду</t>
  </si>
  <si>
    <t>Компонент на теплоноситель,_x000D_
руб./куб. м</t>
  </si>
  <si>
    <t>Компонента на тепловую энергию</t>
  </si>
  <si>
    <t>Одноставочный компонент тарифа на тепловую энергию,_x000D_
руб/Гкал</t>
  </si>
  <si>
    <t>Двухставочный компонент тарифа на тепловую энергию</t>
  </si>
  <si>
    <t>NUM_CONS</t>
  </si>
  <si>
    <t>ставка за потребление горячей воды,_x000D_
руб./куб. м</t>
  </si>
  <si>
    <t>ставка за содержание тепловой мощности в компоненте на тепловую энергию,_x000D_
тыс. руб./Гкал/ч в мес.</t>
  </si>
  <si>
    <t>По данной форме раскрывается в том числе информация о тарифах на товары (услуги) в сфере теплоснабжения в случаях, указанных в частях 12.1 - 12.4 статьи 10 Федерального закона № 190-ФЗ, теплоснабжающей организации, теплосетевой организации в ценовых зонах теплоснабжения.</t>
  </si>
  <si>
    <t>По данной форме раскрывается в том числе информация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</si>
  <si>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В колонке "Параметр дифференциации тарифа/Заявитель" указывается наименование категории потребителей,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подключаемой нагрузке, диапазону диаметров, типу прокладки тепловых сетей,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</si>
  <si>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диапазон диаметров тепловых сетей</t>
  </si>
  <si>
    <t>Добавить тип прокладки тепловых сетей</t>
  </si>
  <si>
    <t>Добавить подключаемую тепловую нагрузку</t>
  </si>
  <si>
    <t>Добавить строку</t>
  </si>
  <si>
    <t>FLAG</t>
  </si>
  <si>
    <t>LOAD</t>
  </si>
  <si>
    <t>NETS</t>
  </si>
  <si>
    <t>DIAMETERS</t>
  </si>
  <si>
    <t>Параметр дифференциации тарифа/ заявитель/ наименование объекта/адрес</t>
  </si>
  <si>
    <t>Подключаемая тепловая нагрузка,_x000D_
Гкал/ч</t>
  </si>
  <si>
    <t>Тип прокладки тепловых сетей</t>
  </si>
  <si>
    <t>Диаметр тепловых сетей,_x000D_
мм</t>
  </si>
  <si>
    <t>Плата за подключение (технологическое присоединение),_x000D_
тыс. руб./Гкал/ч (руб.)</t>
  </si>
  <si>
    <t>Плата за подключение (технологическое присоединение)</t>
  </si>
  <si>
    <t>с НДС</t>
  </si>
  <si>
    <t>без НДС</t>
  </si>
  <si>
    <t>В колонке "Параметр дифференциации тарифа/заявитель/наименование объекта/адрес" указывается наименование категории потребителей,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подключаемой нагрузке, диапазону диаметров, типу прокладки тепловых сетей,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</si>
  <si>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При размещении информации по данной форме дополнительно указываются: наименование органа регулирования тарифов, принявшего решение об установлении цены (тарифа) в сфере теплоснабжения, реквизиты (дата и номер) решения об установлении цены (тарифа), источник официального опубликования решения об установлении цены (тарифа) в сфере теплоснабжения.</t>
  </si>
  <si>
    <t>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 23.4 Федерального закона № 190-ФЗ.</t>
  </si>
  <si>
    <t>REGION</t>
  </si>
  <si>
    <t>year_list1</t>
  </si>
  <si>
    <t>year_list</t>
  </si>
  <si>
    <t>logical</t>
  </si>
  <si>
    <t>Месяц_x000D_
(MONTH)</t>
  </si>
  <si>
    <t>Квартал_x000D_
(QUARTER)</t>
  </si>
  <si>
    <t>Месяц_x000D_
(kind_of_publication)</t>
  </si>
  <si>
    <t>НДС_x000D_
/kind_of_NDS/</t>
  </si>
  <si>
    <t>Номер СЦХВ(СЦВО)_x000D_
/SKI_number/</t>
  </si>
  <si>
    <t>Единица измерения объема оказываемых услуг ГВС_x000D_
/kind_of_unit_GVS/</t>
  </si>
  <si>
    <t>Метод регулирования_x000D_
/kind_of_control_method/</t>
  </si>
  <si>
    <t>Вид деятельности, на которую установлен тариф /kind_of_activity_WARM/</t>
  </si>
  <si>
    <t>Вид теплоносителя_x000D_
(kind_of_heat_transfer)</t>
  </si>
  <si>
    <t>Тип данных_x000D_
(kind_of_data_type)</t>
  </si>
  <si>
    <t>Схема подключения_x000D_
(kind_of_scheme_in)_x000D_
(kind_of_scheme_in2)</t>
  </si>
  <si>
    <t>Группы потребителей_x000D_
(kind_of_cons)</t>
  </si>
  <si>
    <t>Тип прокладки тепловых сетей_x000D_
(kind_of_nets)</t>
  </si>
  <si>
    <t>Диапазаны диаметров тепловых сетей_x000D_
(kind_of_diameters)</t>
  </si>
  <si>
    <t>Подключаемая тепловая нагрузка_x000D_
(kind_of_load)</t>
  </si>
  <si>
    <t>Форма 2, таблица Х</t>
  </si>
  <si>
    <t>виды тарифа_x000D_
/kind_group_rates/</t>
  </si>
  <si>
    <t>Заголовок таблицы</t>
  </si>
  <si>
    <t>name_rates_4</t>
  </si>
  <si>
    <t>name_rates_8</t>
  </si>
  <si>
    <t>Подключаемая тепловая нагрузка_x000D_
(kind_of_load3)</t>
  </si>
  <si>
    <t>Вид теплоносителя_x000D_
(kind_of_heat_transfer2)</t>
  </si>
  <si>
    <t>Вид теплоносителя_x000D_
(kind_of_heat_transfer3)</t>
  </si>
  <si>
    <t>Вид топлива_x000D_
(kind_of_fuel)</t>
  </si>
  <si>
    <t>Способ закупки товаров_x000D_
(kind_of_zak)</t>
  </si>
  <si>
    <t>виды тарифа_x000D_
/kind_group_rates_load/</t>
  </si>
  <si>
    <t>виды тарифа_x000D_
/kind_group_rates_load_filter/</t>
  </si>
  <si>
    <t>виды признаков дифференциации_x000D_
/kind_of_diff/</t>
  </si>
  <si>
    <t>Диапазаны диаметров водопроводных сетей_x000D_
(kind_of_diameters2)</t>
  </si>
  <si>
    <t>List_H</t>
  </si>
  <si>
    <t>List_M</t>
  </si>
  <si>
    <t>kind_of_org_type</t>
  </si>
  <si>
    <t>Виды топлива_x000D_
/kind_of_fuels/</t>
  </si>
  <si>
    <t>YEAR_IP_LIST</t>
  </si>
  <si>
    <t>MONTH_IP_LIST</t>
  </si>
  <si>
    <t>HEAT</t>
  </si>
  <si>
    <t>COLDVSNA/HOTVSNA</t>
  </si>
  <si>
    <t>VOTV</t>
  </si>
  <si>
    <t>OTKO</t>
  </si>
  <si>
    <t>Алтайский край</t>
  </si>
  <si>
    <t>январь</t>
  </si>
  <si>
    <t>На официальном сайте организации</t>
  </si>
  <si>
    <t>тыс.куб.м/сутки</t>
  </si>
  <si>
    <t>метод экономически обоснованных расходов (затрат)</t>
  </si>
  <si>
    <t>Передача+Сбыт</t>
  </si>
  <si>
    <t>вода</t>
  </si>
  <si>
    <t>без дифференциации</t>
  </si>
  <si>
    <t>организации-перепродавцы</t>
  </si>
  <si>
    <t>надземная (наземная)</t>
  </si>
  <si>
    <t>50 - 250 мм</t>
  </si>
  <si>
    <t>не превышает 0,1 Гкал/ч</t>
  </si>
  <si>
    <t>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в соответствии с установленными федеральным органом исполнительной власти в области государственного регулирования тарифов в сфере теплоснабжения предельными (минимальным и (или) максимальным) уровнями указанных тарифов</t>
  </si>
  <si>
    <t>Форма 4.2.1 Информация о величинах тарифов на тепловую энергию, поддержанию резервной тепловой мощности</t>
  </si>
  <si>
    <t>Тариф на теплоноситель, поставляемый потребителям</t>
  </si>
  <si>
    <t>Плата за услуги по поддержанию резервной тепловой мощности при отсутствии потребления тепловой энергии для отдельных категорий (групп) социально значимых потребителей</t>
  </si>
  <si>
    <t>Вода</t>
  </si>
  <si>
    <t>Газ природный по регулируемой цене</t>
  </si>
  <si>
    <t>Конкурс</t>
  </si>
  <si>
    <t>объемы потребления воды абонентами</t>
  </si>
  <si>
    <t>40 мм и менее</t>
  </si>
  <si>
    <t>00</t>
  </si>
  <si>
    <t>Регулируемая организация</t>
  </si>
  <si>
    <t>газ природный по регулируемой цене</t>
  </si>
  <si>
    <t>тыс м3</t>
  </si>
  <si>
    <t>Январь</t>
  </si>
  <si>
    <t>Амурская область</t>
  </si>
  <si>
    <t>февраль</t>
  </si>
  <si>
    <t>II квартал</t>
  </si>
  <si>
    <t>На сайте регулирующего органа</t>
  </si>
  <si>
    <t>УСН</t>
  </si>
  <si>
    <t>Гкал/ч</t>
  </si>
  <si>
    <t>метод индексации установленных тарифов</t>
  </si>
  <si>
    <t>Передача</t>
  </si>
  <si>
    <t>пар</t>
  </si>
  <si>
    <t>изменения в раскрытой ранее информации</t>
  </si>
  <si>
    <t>к коллектору источника тепловой энергии</t>
  </si>
  <si>
    <t>бюджетные организации</t>
  </si>
  <si>
    <t>подземная (канальная)</t>
  </si>
  <si>
    <t>251 - 400 мм</t>
  </si>
  <si>
    <t>более 0,1 Гкал/ч и не превышает 1,5 Гкал/ч</t>
  </si>
  <si>
    <t>Тарифы на тепловую энергию (мощность), поставляемую другим теплоснабжающим организациям теплоснабжающими организациями</t>
  </si>
  <si>
    <t>Тариф на теплоноситель, поставляемый теплоснабжающей организацией, владеющей источником (источниками) тепловой энергии, на котором производится теплоноситель</t>
  </si>
  <si>
    <t>Плата за услуги по поддержанию резервной тепловой мощности, оказываемые регулируемой организацией, мощность источников тепловой энергии которой используется для поддержания резервной мощности в соответствии со схемой теплоснабжения</t>
  </si>
  <si>
    <t>Отборный пар, 1,2-2,5 кг/см2</t>
  </si>
  <si>
    <t>Пар</t>
  </si>
  <si>
    <t>Газ природный по нерегулируемой цене</t>
  </si>
  <si>
    <t>Аукцион</t>
  </si>
  <si>
    <t>Тарифы на тепловую энергию (мощность), поставляемую потребителям теплоснабжающими организациями в соответствии с установленными предельными (минимальными и (или) максимальными) уровнями указанных тарифов</t>
  </si>
  <si>
    <t>соответствие качества питьевой воды и горячей воды требованиям, установленным санитарными нормами и правилами</t>
  </si>
  <si>
    <t>от 41 мм до 70 мм включительно</t>
  </si>
  <si>
    <t>01</t>
  </si>
  <si>
    <t>Единая теплоснабжающая организация</t>
  </si>
  <si>
    <t>газ природный по нерегулируемой цене</t>
  </si>
  <si>
    <t>Февраль</t>
  </si>
  <si>
    <t>HEAT_FIN_SRC_LIST</t>
  </si>
  <si>
    <t>VSNA_FIN_SRC_LIST</t>
  </si>
  <si>
    <t>VOTV_FIN_SRC_LIST</t>
  </si>
  <si>
    <t>OTKO_FIN_SRC_LIST</t>
  </si>
  <si>
    <t>HEAT_PT_TARIFF_NAME_LIST</t>
  </si>
  <si>
    <t>COLDVSNA_PT_TARIFF_NAME_LIST</t>
  </si>
  <si>
    <t>HOTVSNA_PT_TARIFF_NAME_LIST</t>
  </si>
  <si>
    <t>VOTV_PT_TARIFF_NAME_LIST</t>
  </si>
  <si>
    <t>Архангельская область</t>
  </si>
  <si>
    <t>март</t>
  </si>
  <si>
    <t>III квартал</t>
  </si>
  <si>
    <t>ЕСХН</t>
  </si>
  <si>
    <t>куб.м/ч</t>
  </si>
  <si>
    <t>метод обеспечения доходности инвестированного капитала</t>
  </si>
  <si>
    <t>производство комбинированная выработка</t>
  </si>
  <si>
    <t>отборный пар, 1.2-2.5 кг/см2</t>
  </si>
  <si>
    <t>к тепловой сети без дополнительного преобразования на тепловых пунктах, эксплуатируемых теплоснабжающей организацией</t>
  </si>
  <si>
    <t>население и приравненные категории</t>
  </si>
  <si>
    <t>подземная (бесканальная)</t>
  </si>
  <si>
    <t>401 - 550 мм</t>
  </si>
  <si>
    <t>превышает 1,5 Гкал/ч при наличии технической возможности подключения</t>
  </si>
  <si>
    <t>Предельный уровнь цены на тепловую энергию (мощность), поставляемую теплоснабжающими организациями потребителям</t>
  </si>
  <si>
    <t>Плата за услуги по поддержанию резервной тепловой мощности, оказываемые регулируемой организацией, мощность тепловых сетей которой используется для поддержания резервной мощности в соответствии со схемой теплоснабжения</t>
  </si>
  <si>
    <t>Отборный пар, 2,5-7 кг/см2</t>
  </si>
  <si>
    <t>Уголь</t>
  </si>
  <si>
    <t>Аукцион в электронной форме</t>
  </si>
  <si>
    <t>иное</t>
  </si>
  <si>
    <t>от 71 мм до 100 мм включительно</t>
  </si>
  <si>
    <t>02</t>
  </si>
  <si>
    <t>Теплоснабжающая организация в ценовой зоне теплоснабжения</t>
  </si>
  <si>
    <t>газ сжиженный</t>
  </si>
  <si>
    <t>кг</t>
  </si>
  <si>
    <t>Март</t>
  </si>
  <si>
    <t>[ Собственные средства ]</t>
  </si>
  <si>
    <t>HEAT_PT_TARIFF_ID</t>
  </si>
  <si>
    <t>HEAT_PT_TARIFF_NAME</t>
  </si>
  <si>
    <t>COLDVSNA_PT_TARIFF_ID</t>
  </si>
  <si>
    <t>COLDVSNA_PT_TARIFF_NAME</t>
  </si>
  <si>
    <t>HOTVSNA_PT_TARIFF_ID</t>
  </si>
  <si>
    <t>HOTVSNA_PT_TARIFF_NAME</t>
  </si>
  <si>
    <t>VOTV_PT_TARIFF_ID</t>
  </si>
  <si>
    <t>VOTV_PT_TARIFF_NAME</t>
  </si>
  <si>
    <t>Астраханская область</t>
  </si>
  <si>
    <t>апрель</t>
  </si>
  <si>
    <t>IV квартал</t>
  </si>
  <si>
    <t>ПСН</t>
  </si>
  <si>
    <t>метод сравнения аналогов</t>
  </si>
  <si>
    <t>производство (некомбинированная выработка)+передача+сбыт</t>
  </si>
  <si>
    <t>отборный пар, 2.5-7 кг/см2</t>
  </si>
  <si>
    <t>к тепловой сети после тепловых пунктов (на тепловых пунктах), эксплуатируемых теплоснабжающей организацией</t>
  </si>
  <si>
    <t>прочие</t>
  </si>
  <si>
    <t>551 - 700 мм</t>
  </si>
  <si>
    <t>превышает 1,5 Гкал/ч при отсутствии технической возможности подключения</t>
  </si>
  <si>
    <t>Форма 4.2.2 Информация о величинах тарифов на теплоноситель, передачу тепловой энергии, теплоносителя</t>
  </si>
  <si>
    <t>не известна</t>
  </si>
  <si>
    <t>Отборный пар, 7-13 кг/см2</t>
  </si>
  <si>
    <t>Мазут</t>
  </si>
  <si>
    <t>Запрос котировок</t>
  </si>
  <si>
    <t>от 101 мм до 150 мм включительно</t>
  </si>
  <si>
    <t>03</t>
  </si>
  <si>
    <t>Теплосетевая организация в ценовой зоне теплоснабжения</t>
  </si>
  <si>
    <t>газовый конденсат</t>
  </si>
  <si>
    <t>тонны</t>
  </si>
  <si>
    <t>Апрель</t>
  </si>
  <si>
    <t xml:space="preserve">  Прибыль направляемая на инвестиции</t>
  </si>
  <si>
    <t xml:space="preserve">  Нормативная прибыль</t>
  </si>
  <si>
    <t>Тариф на горячую воду в закрытой системе горячего водоснабжения (горячее водоснабжение)</t>
  </si>
  <si>
    <t>Тариф на подключение (технологическое присоединение) к централизованной системе водоотведения в индивидуальном порядке</t>
  </si>
  <si>
    <t>май</t>
  </si>
  <si>
    <t>НПД</t>
  </si>
  <si>
    <t>Вид тарифа на передачу тепловой энергии /kind_of_tariff_unit/</t>
  </si>
  <si>
    <t>производство (некомбинированная выработка)+передача</t>
  </si>
  <si>
    <t>отборный пар, 7-13 кг/см2</t>
  </si>
  <si>
    <t>701 мм и выше</t>
  </si>
  <si>
    <t>Форма 4.2.3 Информация о величинах тарифов на горячую воду (в открытых системах)</t>
  </si>
  <si>
    <t>Отборный пар, &gt; 13 кг/см2</t>
  </si>
  <si>
    <t>Дизельное топливо</t>
  </si>
  <si>
    <t>Единственный поставщик</t>
  </si>
  <si>
    <t>от 151 мм до 200 мм включительно</t>
  </si>
  <si>
    <t>04</t>
  </si>
  <si>
    <t>гшз</t>
  </si>
  <si>
    <t>Май</t>
  </si>
  <si>
    <t xml:space="preserve">  [ Амортизационные отчисления ]</t>
  </si>
  <si>
    <t xml:space="preserve">  Капитальные вложения (инвестиции), финансируемые за счет нормативной прибыли, учитываемой в необходимой валовой выручке</t>
  </si>
  <si>
    <t xml:space="preserve">  Амортизационные отчисления</t>
  </si>
  <si>
    <t>Тариф на подключение к централизованной системе водоотведения</t>
  </si>
  <si>
    <t>Брянская область</t>
  </si>
  <si>
    <t>июнь</t>
  </si>
  <si>
    <t>смешанное налогообложение</t>
  </si>
  <si>
    <t>руб./Гкал/ч/мес</t>
  </si>
  <si>
    <t>производство (некомбинированная выработка)+сбыт</t>
  </si>
  <si>
    <t>отборный пар, &gt; 13 кг/см2</t>
  </si>
  <si>
    <t>Острый и редуцированный пар</t>
  </si>
  <si>
    <t>Дрова</t>
  </si>
  <si>
    <t>Иное</t>
  </si>
  <si>
    <t>от 201 мм до 250 мм включительно</t>
  </si>
  <si>
    <t>05</t>
  </si>
  <si>
    <t>QRE_METHOD_LIST</t>
  </si>
  <si>
    <t>мазут</t>
  </si>
  <si>
    <t>Июнь</t>
  </si>
  <si>
    <t xml:space="preserve">      Амортизационные отчисления с выделением результатов переоценки основных средств и нематериальных активов</t>
  </si>
  <si>
    <t>[ Привлеченные средства ]</t>
  </si>
  <si>
    <t>Тариф на подключение к централизованной системе горячего водоснабжения</t>
  </si>
  <si>
    <t>Владимирская область</t>
  </si>
  <si>
    <t>июль</t>
  </si>
  <si>
    <t>руб./Гкал</t>
  </si>
  <si>
    <t>производство (некомбинированная выработка)</t>
  </si>
  <si>
    <t>острый и редуцированный пар</t>
  </si>
  <si>
    <t>Электроэнергия</t>
  </si>
  <si>
    <t>от 250  мм и более</t>
  </si>
  <si>
    <t>06</t>
  </si>
  <si>
    <t>по мероприятиям</t>
  </si>
  <si>
    <t>нефть</t>
  </si>
  <si>
    <t>Июль</t>
  </si>
  <si>
    <t xml:space="preserve">      Прочие амортизационные отчисления</t>
  </si>
  <si>
    <t xml:space="preserve">     Амортизационные отчисления за исключением переоценки основных средств и нематериальных активов</t>
  </si>
  <si>
    <t xml:space="preserve">  Кредиты</t>
  </si>
  <si>
    <t>Тариф на подключение (технологическое присоединение) к централизованной системе холодного водоснабжения в индивидуальном порядке</t>
  </si>
  <si>
    <t>Тариф на подключение к централизованной системе горячего водоснабжения (инд)</t>
  </si>
  <si>
    <t>Волгоградская область</t>
  </si>
  <si>
    <t>август</t>
  </si>
  <si>
    <t>НДС общий_x000D_
/kind_of_NDS_tariff/</t>
  </si>
  <si>
    <t>НДС_x000D_
/kind_of_NDS_tariff/</t>
  </si>
  <si>
    <t>горячая вода в системе централизованного теплоснабжения на отопление</t>
  </si>
  <si>
    <t>Прочее</t>
  </si>
  <si>
    <t>Плата за подключение к системе теплоснабжения</t>
  </si>
  <si>
    <t>07</t>
  </si>
  <si>
    <t>по группам мероприятий</t>
  </si>
  <si>
    <t>дизельное топливо</t>
  </si>
  <si>
    <t>Август</t>
  </si>
  <si>
    <t xml:space="preserve">  Прочие собственные средства</t>
  </si>
  <si>
    <t xml:space="preserve">     Амортизационные отчисления в результате переоценки основных средств и нематериальных активов</t>
  </si>
  <si>
    <t xml:space="preserve">  [ Займы ]</t>
  </si>
  <si>
    <t>Вологодская область</t>
  </si>
  <si>
    <t>сентябрь</t>
  </si>
  <si>
    <t>тариф указан с НДС для плательщиков НДС</t>
  </si>
  <si>
    <t>тариф для организаций не являющихся плательщиками НДС</t>
  </si>
  <si>
    <t>Установленная электрическая мощность. Теплоэлектростанции. Ед.измерения  /kind_of_power_te_unit/</t>
  </si>
  <si>
    <t>цель инвестиционной программы /kind_of_purchase_method/</t>
  </si>
  <si>
    <t>горячая вода в системе централизованного теплоснабжения на горячее водоснабжение</t>
  </si>
  <si>
    <t>Плата за подключение к системе теплоснабжения (индивидуальная)</t>
  </si>
  <si>
    <t>Форма 4.2.5 Информация о плате за подключение к системе теплоснабжения в индивидуальном порядке</t>
  </si>
  <si>
    <t>08</t>
  </si>
  <si>
    <t>в целом на инвестиционную программу</t>
  </si>
  <si>
    <t>уголь бурый</t>
  </si>
  <si>
    <t>Сентябрь</t>
  </si>
  <si>
    <t xml:space="preserve">  За счет платы за технологическое присоединение</t>
  </si>
  <si>
    <t xml:space="preserve">     Прочие амортизационные отчисления</t>
  </si>
  <si>
    <t xml:space="preserve">      Займы, предоставленные Фондом ЖКХ за счет средств ФНБ</t>
  </si>
  <si>
    <t>Воронежская область</t>
  </si>
  <si>
    <t>октябрь</t>
  </si>
  <si>
    <t>тариф указан без НДС для плательщиков НДС</t>
  </si>
  <si>
    <t>тариф не утверждался</t>
  </si>
  <si>
    <t>кВт*ч</t>
  </si>
  <si>
    <t>Торги/аукционы</t>
  </si>
  <si>
    <t>прочее</t>
  </si>
  <si>
    <t>Форма 4.2.4 Информация о величинах тарифов на подключение к системе теплоснабжения</t>
  </si>
  <si>
    <t>09</t>
  </si>
  <si>
    <t>по муниципальным образованиям/территориям</t>
  </si>
  <si>
    <t>уголь каменный</t>
  </si>
  <si>
    <t>Октябрь</t>
  </si>
  <si>
    <t xml:space="preserve">  [ Экономия расходов ]</t>
  </si>
  <si>
    <t xml:space="preserve">      Прочие займы</t>
  </si>
  <si>
    <t>г.Байконур</t>
  </si>
  <si>
    <t>ноябрь</t>
  </si>
  <si>
    <t>МВт</t>
  </si>
  <si>
    <t>Прямые договора без торгов</t>
  </si>
  <si>
    <t>Предельный уровнь цены на тепловую энергию (мощность), поставляемую теплоснабжающими организациями потребителям. Индикативы</t>
  </si>
  <si>
    <t>по централизованным системам</t>
  </si>
  <si>
    <t>торф</t>
  </si>
  <si>
    <t>Ноябрь</t>
  </si>
  <si>
    <t xml:space="preserve">      Экономия расходов в результате реализации мероприятий инвестиционной программы</t>
  </si>
  <si>
    <t xml:space="preserve">  Средства, полученные за счет платы за подключение (технологическое присоединение)</t>
  </si>
  <si>
    <t>[ Бюджетное финансирование ]</t>
  </si>
  <si>
    <t>г. Москва</t>
  </si>
  <si>
    <t>декабрь</t>
  </si>
  <si>
    <t>дрова</t>
  </si>
  <si>
    <t>м3</t>
  </si>
  <si>
    <t>Декабрь</t>
  </si>
  <si>
    <t xml:space="preserve">      Экономия расходов, связанная с сокращением потерь в тепловых сетях, сменой видов и (или) марки основного и (или) резервного топлива на источниках тепловой энергии, реализацией энергосервисного договора (контракта) в размере, определенном по решению регулируемой организации, плату за подключение (технологическое присоединение) к системам централизованного теплоснабжения</t>
  </si>
  <si>
    <t xml:space="preserve">  Федеральный бюджет</t>
  </si>
  <si>
    <t>г.Санкт-Петербург</t>
  </si>
  <si>
    <t>Объём приобретаемой тепловой энергии (мощности), используемой для горячего водоснабжения. Ед.измерения  /kind_of_volume_te_unit/</t>
  </si>
  <si>
    <t>Вид деятельности /kind_of_activity/</t>
  </si>
  <si>
    <t>TITLE_IP_DETAILED_METHOD_LIST</t>
  </si>
  <si>
    <t>опил</t>
  </si>
  <si>
    <t xml:space="preserve">      Экономия расходов, достигнутая регулируемой организацией в результате реализации мероприятий инвестиционной программы за счет амортизационных отчислений</t>
  </si>
  <si>
    <t xml:space="preserve">  Бюджет субъекта РФ</t>
  </si>
  <si>
    <t>г.Севастополь</t>
  </si>
  <si>
    <t>TemplateState</t>
  </si>
  <si>
    <t>НДС общий люди_x000D_
/kind_of_NDS_tariff_people/</t>
  </si>
  <si>
    <t>НДС_x000D_
/kind_of_NDS_tariff_people/</t>
  </si>
  <si>
    <t>тыс. Гкал</t>
  </si>
  <si>
    <t>производство тепловой энергии (мощности)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МВт и более</t>
  </si>
  <si>
    <t>отходы березовые</t>
  </si>
  <si>
    <t xml:space="preserve">      Экономия расходов, достигнутая регулируемой организацией в результате реализации мероприятий инвестиционной программы за счет капитальных вложений в составе нормативной прибыли</t>
  </si>
  <si>
    <t xml:space="preserve">  Бюджет муниципального образования</t>
  </si>
  <si>
    <t>Еврейская автономная область</t>
  </si>
  <si>
    <t>START_FILL</t>
  </si>
  <si>
    <t>тариф с НДС организаций-плательщиков НДС</t>
  </si>
  <si>
    <t>тариф организаций не являющихся плательщиками НДС</t>
  </si>
  <si>
    <t>15</t>
  </si>
  <si>
    <t>производство тепловой энергии (мощности)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менее 25 МВт</t>
  </si>
  <si>
    <t>отходы осиновые</t>
  </si>
  <si>
    <t xml:space="preserve">      Экономия расходов, достигнутая регулируемой организацией в результате реализации мероприятий инвестиционной программы за счет прочих собственных средств</t>
  </si>
  <si>
    <t>[ Прочие источники финансирования ]</t>
  </si>
  <si>
    <t>Забайкальский край</t>
  </si>
  <si>
    <t>16</t>
  </si>
  <si>
    <t>производство тепловой энергии (мощности) не в режиме комбинированной выработки электрической и тепловой энергии источниками тепловой энергии</t>
  </si>
  <si>
    <t>по мероприятиям и группам мероприятий</t>
  </si>
  <si>
    <t>печное топливо</t>
  </si>
  <si>
    <t xml:space="preserve">      Экономия расходов, достигнутая регулируемой организацией в результате реализации мероприятий инвестиционной программы за счет за счет займов и кредитов</t>
  </si>
  <si>
    <t xml:space="preserve">  Лизинг</t>
  </si>
  <si>
    <t>COLDVSNA_PT_VED_NAME_LIST</t>
  </si>
  <si>
    <t>HOTVSNA_PT_VED_NAME_LIST</t>
  </si>
  <si>
    <t>VOTV_PT_VED_NAME_LIST</t>
  </si>
  <si>
    <t>TKO_PT_VED_NAME_LIST</t>
  </si>
  <si>
    <t>Ивановская область</t>
  </si>
  <si>
    <t>17</t>
  </si>
  <si>
    <t>производство теплоносителя</t>
  </si>
  <si>
    <t>пилеты</t>
  </si>
  <si>
    <t xml:space="preserve">      Экономия средств, достигнутая регулируемой организацией в результате снижения расходов</t>
  </si>
  <si>
    <t xml:space="preserve">  Прочие</t>
  </si>
  <si>
    <t>COLDVSNA_PT_VED_ID</t>
  </si>
  <si>
    <t>COLDVSNA_PT_VED_NAME</t>
  </si>
  <si>
    <t>HOTVSNA_PT_VED_ID</t>
  </si>
  <si>
    <t>HOTVSNA_PT_VED_NAME</t>
  </si>
  <si>
    <t>VOTV_PT_VED_ID</t>
  </si>
  <si>
    <t>VOTV_PT_VED_NAME</t>
  </si>
  <si>
    <t>TKO_PT_VED_ID</t>
  </si>
  <si>
    <t>TKO_PT_VED_NAME</t>
  </si>
  <si>
    <t>Иркутская область</t>
  </si>
  <si>
    <t>18</t>
  </si>
  <si>
    <t>передача тепловой энергии и теплоносителя</t>
  </si>
  <si>
    <t>IP_CLAIM_LIST</t>
  </si>
  <si>
    <t>смола</t>
  </si>
  <si>
    <t xml:space="preserve">  Прочие привлеченные средства</t>
  </si>
  <si>
    <t xml:space="preserve">      Экономия расходов в результате реализации энергосервисного договора (контракта) в результате снижения расходов, в размере, определенном по решению регулируемой организации, плату за подключение к централизованным системам водоснабжения</t>
  </si>
  <si>
    <t>Производство тепловой энергии. Некомбинированная выработка</t>
  </si>
  <si>
    <t>Холодное водоснабжение. Питьевая вода</t>
  </si>
  <si>
    <t>Горячее водоснабжение</t>
  </si>
  <si>
    <t>Водоотведение</t>
  </si>
  <si>
    <t>Захоронение твердых коммунальных отходов</t>
  </si>
  <si>
    <t>Кабардино-Балкарская республика</t>
  </si>
  <si>
    <t>19</t>
  </si>
  <si>
    <t>сбыт тепловой энергии и теплоносителя</t>
  </si>
  <si>
    <t>уменьшение удельных затрат (повышение КПД)</t>
  </si>
  <si>
    <t>щепа</t>
  </si>
  <si>
    <t>Производство тепловой энергии. Комбинированная выработка с уст. мощностью производства электрической энергии менее 25 МВт</t>
  </si>
  <si>
    <t>Холодное водоснабжение. Техническая вода</t>
  </si>
  <si>
    <t>Транспортировка</t>
  </si>
  <si>
    <t>Обезвреживание твердых коммунальных отходов</t>
  </si>
  <si>
    <t>Калининградская область</t>
  </si>
  <si>
    <t>20</t>
  </si>
  <si>
    <t>подключение к системе теплоснабжения</t>
  </si>
  <si>
    <t>автоматизация (с уменьшением штата)</t>
  </si>
  <si>
    <t>горючий сланец</t>
  </si>
  <si>
    <t>Производство тепловой энергии. Комбинированная выработка с уст. мощностью производства электрической энергии 25 МВт и более</t>
  </si>
  <si>
    <t>Холодное водоснабжение. Подвозная вода</t>
  </si>
  <si>
    <t>Подключение (технологическое присоединение) к централизованной системе горячего водоснабжения</t>
  </si>
  <si>
    <t>Подключение (технологическое присоединение) к централизованной системе водоотведения</t>
  </si>
  <si>
    <t>Обработка твердых коммунальных отходов</t>
  </si>
  <si>
    <t>Калужская область</t>
  </si>
  <si>
    <t>поддержание резервной тепловой мощности при отсутствии потребления тепловой энергии</t>
  </si>
  <si>
    <t>уменьшение издержек на производство</t>
  </si>
  <si>
    <t>керосин</t>
  </si>
  <si>
    <t>Производство. Теплоноситель</t>
  </si>
  <si>
    <t>Транспортировка. Питьевая вода</t>
  </si>
  <si>
    <t>Камчатский край</t>
  </si>
  <si>
    <t>21</t>
  </si>
  <si>
    <t>снижение аварийности</t>
  </si>
  <si>
    <t>кислородно-водородная смесь</t>
  </si>
  <si>
    <t>Передача. Тепловая энергия</t>
  </si>
  <si>
    <t>Транспортировка. Техническая вода</t>
  </si>
  <si>
    <t>Энергетическая утилизация</t>
  </si>
  <si>
    <t>Карачаево-Черкесская республика</t>
  </si>
  <si>
    <t>22</t>
  </si>
  <si>
    <t>улучшение качества</t>
  </si>
  <si>
    <t>электроэнергия (НН)</t>
  </si>
  <si>
    <t>тыс кВт.ч</t>
  </si>
  <si>
    <t>Передача. Теплоноситель</t>
  </si>
  <si>
    <t>Транспортировка. Подвозная вода</t>
  </si>
  <si>
    <t>Транспортирование твердых коммунальных отходов</t>
  </si>
  <si>
    <t>Кемеровская область</t>
  </si>
  <si>
    <t>23</t>
  </si>
  <si>
    <t>повышение надёжности и энергетической эффективности</t>
  </si>
  <si>
    <t>электроэнергия (СН1)</t>
  </si>
  <si>
    <t>Сбыт. Тепловая энергия</t>
  </si>
  <si>
    <t>Подключение (технологическое присоединение) к централизованной системе водоснабжения</t>
  </si>
  <si>
    <t>Кировская область</t>
  </si>
  <si>
    <t>CROSSES</t>
  </si>
  <si>
    <t>24</t>
  </si>
  <si>
    <t>электроэнергия (СН2)</t>
  </si>
  <si>
    <t>Сбыт. Теплоноситель</t>
  </si>
  <si>
    <t>Костромская область</t>
  </si>
  <si>
    <t>25</t>
  </si>
  <si>
    <t>электроэнергия (ВН)</t>
  </si>
  <si>
    <t>Подключение (технологическое присоединение) к системе теплоснабжения</t>
  </si>
  <si>
    <t>Краснодарский край</t>
  </si>
  <si>
    <t>Текущая дата</t>
  </si>
  <si>
    <t>26</t>
  </si>
  <si>
    <t>PT_GROUP_CONSUMER_LIST</t>
  </si>
  <si>
    <t>мощность</t>
  </si>
  <si>
    <t>тыс кВт</t>
  </si>
  <si>
    <t>Поддержание резервной тепловой мощности при отсутствии потребления тепловой энергии</t>
  </si>
  <si>
    <t>Красноярский край</t>
  </si>
  <si>
    <t>Организация</t>
  </si>
  <si>
    <t>25.07.2023 22:51:32</t>
  </si>
  <si>
    <t>27</t>
  </si>
  <si>
    <t>Курганская область</t>
  </si>
  <si>
    <t>28</t>
  </si>
  <si>
    <t xml:space="preserve">  Плата концедента на строительство, модернизацию и (или) реконструкцию объекта концессионного соглашения в размере, предусмотренном заключенным концессионным соглашением</t>
  </si>
  <si>
    <t>Курская область</t>
  </si>
  <si>
    <t>29</t>
  </si>
  <si>
    <t>население</t>
  </si>
  <si>
    <t xml:space="preserve">  Иные бюджетные средства</t>
  </si>
  <si>
    <t>Ленинградская область</t>
  </si>
  <si>
    <t>Виды деятельности</t>
  </si>
  <si>
    <t>https://appsrv.regportal-tariff.ru/procwsxls/</t>
  </si>
  <si>
    <t>30</t>
  </si>
  <si>
    <t>Липецкая область</t>
  </si>
  <si>
    <t>31</t>
  </si>
  <si>
    <t>Магаданская область</t>
  </si>
  <si>
    <t>32</t>
  </si>
  <si>
    <t>Московская область</t>
  </si>
  <si>
    <t>33</t>
  </si>
  <si>
    <t>PT_SCHEME_LIST</t>
  </si>
  <si>
    <t xml:space="preserve">  Доход от взимания платы за нарушение нормативов по объему и (или) составу сточных вод</t>
  </si>
  <si>
    <t>Мурманская область</t>
  </si>
  <si>
    <t>TEMPLATE_SPHERE</t>
  </si>
  <si>
    <t>COLDVSNA</t>
  </si>
  <si>
    <t>34</t>
  </si>
  <si>
    <t xml:space="preserve">  Доход от взимания платы за негативное воздействие на работу централизованной системы водоотведения</t>
  </si>
  <si>
    <t>Ненецкий автономный округ</t>
  </si>
  <si>
    <t>теплоснабжения</t>
  </si>
  <si>
    <t>теплоснабжение</t>
  </si>
  <si>
    <t>35</t>
  </si>
  <si>
    <t>Нижегородская область</t>
  </si>
  <si>
    <t>холодного водоснабжения</t>
  </si>
  <si>
    <t>холодное водоснабжение</t>
  </si>
  <si>
    <t>36</t>
  </si>
  <si>
    <t>HEAT_FIN_SRC_VLD_LIST</t>
  </si>
  <si>
    <t>VSNA_FIN_SRC_VLD_LIST</t>
  </si>
  <si>
    <t>VOTV_FIN_SRC_VLD_LIST</t>
  </si>
  <si>
    <t>OTKO_FIN_SRC_VLD_LIST</t>
  </si>
  <si>
    <t>Новгородская область</t>
  </si>
  <si>
    <t>водоотведения</t>
  </si>
  <si>
    <t>водоотведение</t>
  </si>
  <si>
    <t>37</t>
  </si>
  <si>
    <t>Прибыль направляемая на инвестиции</t>
  </si>
  <si>
    <t>Нормативная прибыль</t>
  </si>
  <si>
    <t>Новосибирская область</t>
  </si>
  <si>
    <t>горячего водоснабжения</t>
  </si>
  <si>
    <t>HOTVSNA</t>
  </si>
  <si>
    <t>горячее водоснабжение</t>
  </si>
  <si>
    <t>38</t>
  </si>
  <si>
    <t>Амортизационные отчисления с выделением результатов переоценки основных средств и нематериальных активов</t>
  </si>
  <si>
    <t>Капитальные вложения (инвестиции), финансируемые за счет нормативной прибыли, учитываемой в необходимой валовой выручке</t>
  </si>
  <si>
    <t>Амортизационные отчисления</t>
  </si>
  <si>
    <t>Омская область</t>
  </si>
  <si>
    <t>обращения с твердыми коммунальными отходами</t>
  </si>
  <si>
    <t>TKO</t>
  </si>
  <si>
    <t>39</t>
  </si>
  <si>
    <t>PT_TN_LIST</t>
  </si>
  <si>
    <t>Прочие амортизационные отчисления</t>
  </si>
  <si>
    <t>Амортизационные отчисления за исключением переоценки основных средств и нематериальных активов</t>
  </si>
  <si>
    <t>Кредиты</t>
  </si>
  <si>
    <t>Оренбургская область</t>
  </si>
  <si>
    <t>40</t>
  </si>
  <si>
    <t>Прочие собственные средства</t>
  </si>
  <si>
    <t>Амортизационные отчисления в результате переоценки основных средств и нематериальных активов</t>
  </si>
  <si>
    <t>Займы, предоставленные Фондом ЖКХ за счет средств ФНБ</t>
  </si>
  <si>
    <t>Орловская область</t>
  </si>
  <si>
    <t>41</t>
  </si>
  <si>
    <t>За счет платы за технологическое присоединение</t>
  </si>
  <si>
    <t>Прочие займы</t>
  </si>
  <si>
    <t>Пензенская область</t>
  </si>
  <si>
    <t>PeriodIsEmpty</t>
  </si>
  <si>
    <t>NameTemplatesInTitle</t>
  </si>
  <si>
    <t>NameTemplatesInListMO</t>
  </si>
  <si>
    <t>42</t>
  </si>
  <si>
    <t>Экономия расходов в результате реализации мероприятий инвестиционной программы</t>
  </si>
  <si>
    <t>Федеральный бюджет</t>
  </si>
  <si>
    <t>Пермский край</t>
  </si>
  <si>
    <t>TEMPLATE_GROUP</t>
  </si>
  <si>
    <t>Q</t>
  </si>
  <si>
    <t>CodeTemplate</t>
  </si>
  <si>
    <t>StartDate</t>
  </si>
  <si>
    <t>EndDate</t>
  </si>
  <si>
    <t>43</t>
  </si>
  <si>
    <t>Экономия расходов, связанная с сокращением потерь в тепловых сетях, сменой видов и (или) марки основного и (или) резервного топлива на источниках тепловой энергии, реализацией энергосервисного договора (контракта) в размере, определенном по решению регулируемой организации, плату за подключение (технологическое присоединение) к системам централизованного теплоснабжения</t>
  </si>
  <si>
    <t>Средства, полученные за счет платы за подключение (технологическое присоединение)</t>
  </si>
  <si>
    <t>Бюджет субъекта РФ</t>
  </si>
  <si>
    <t>Приморский край</t>
  </si>
  <si>
    <t>O</t>
  </si>
  <si>
    <t>44</t>
  </si>
  <si>
    <t>Экономия расходов, достигнутая регулируемой организацией в результате реализации мероприятий инвестиционной программы за счет амортизационных отчислений</t>
  </si>
  <si>
    <t>Бюджет муниципального образования</t>
  </si>
  <si>
    <t>Псковская область</t>
  </si>
  <si>
    <t>45</t>
  </si>
  <si>
    <t>Экономия расходов, достигнутая регулируемой организацией в результате реализации мероприятий инвестиционной программы за счет капитальных вложений в составе нормативной прибыли</t>
  </si>
  <si>
    <t>Лизинг</t>
  </si>
  <si>
    <t>Республика Адыгея</t>
  </si>
  <si>
    <t>BALANCE</t>
  </si>
  <si>
    <t>B</t>
  </si>
  <si>
    <t>Информация о показателях финансово-хозяйственной деятельности, об основных потребительских характеристиках регулируемых товаров и услуг, об инвестиционных программах</t>
  </si>
  <si>
    <t>46</t>
  </si>
  <si>
    <t>Экономия расходов, достигнутая регулируемой организацией в результате реализации мероприятий инвестиционной программы за счет прочих собственных средств</t>
  </si>
  <si>
    <t>Прочие</t>
  </si>
  <si>
    <t>Республика Алтай</t>
  </si>
  <si>
    <t>TERMS</t>
  </si>
  <si>
    <t>T</t>
  </si>
  <si>
    <t>47</t>
  </si>
  <si>
    <t>Прочие привлеченные средства</t>
  </si>
  <si>
    <t>Экономия расходов, достигнутая регулируемой организацией в результате реализации мероприятий инвестиционной программы за счет за счет займов и кредитов</t>
  </si>
  <si>
    <t>Республика Башкортостан</t>
  </si>
  <si>
    <t>INVEST</t>
  </si>
  <si>
    <t>I</t>
  </si>
  <si>
    <t>48</t>
  </si>
  <si>
    <t>Экономия средств, достигнутая регулируемой организацией в результате снижения расходов</t>
  </si>
  <si>
    <t>Республика Бурятия</t>
  </si>
  <si>
    <t>REQUEST</t>
  </si>
  <si>
    <t>R</t>
  </si>
  <si>
    <t>49</t>
  </si>
  <si>
    <t>Экономия расходов в результате реализации энергосервисного договора (контракта) в результате снижения расходов, в размере, определенном по решению регулируемой организации, плату за подключение к централизованным системам водоснабжения</t>
  </si>
  <si>
    <t>Республика Дагестан</t>
  </si>
  <si>
    <t>PRICE</t>
  </si>
  <si>
    <t>P</t>
  </si>
  <si>
    <t>50</t>
  </si>
  <si>
    <t>Республика Ингушетия</t>
  </si>
  <si>
    <t>ROIV</t>
  </si>
  <si>
    <t>Показатели, подлежащие раскрытию органами регулирования</t>
  </si>
  <si>
    <t>51</t>
  </si>
  <si>
    <t>Республика Калмыкия</t>
  </si>
  <si>
    <t>52</t>
  </si>
  <si>
    <t>PT_NETS_LIST</t>
  </si>
  <si>
    <t>Республика Карелия</t>
  </si>
  <si>
    <t>53</t>
  </si>
  <si>
    <t>Республика Коми</t>
  </si>
  <si>
    <t>TERRITORY_ID</t>
  </si>
  <si>
    <t>начинать только с 2, остальное по умолчанию</t>
  </si>
  <si>
    <t>54</t>
  </si>
  <si>
    <t>Республика Крым</t>
  </si>
  <si>
    <t>DIFFERENTIATION_ID</t>
  </si>
  <si>
    <t>55</t>
  </si>
  <si>
    <t>Республика Марий Эл</t>
  </si>
  <si>
    <t>IP_ID</t>
  </si>
  <si>
    <t>56</t>
  </si>
  <si>
    <t>Республика Мордовия</t>
  </si>
  <si>
    <t>начинать только с 30, остальное по умолчанию</t>
  </si>
  <si>
    <t>57</t>
  </si>
  <si>
    <t>PT_DIAMETERS_LIST</t>
  </si>
  <si>
    <t>Республика Саха (Якутия)</t>
  </si>
  <si>
    <t>VDET_ID</t>
  </si>
  <si>
    <t>58</t>
  </si>
  <si>
    <t>Республика Северная Осетия-Алания</t>
  </si>
  <si>
    <t>NTAR_ID</t>
  </si>
  <si>
    <t>59</t>
  </si>
  <si>
    <t>Средства, полученные регулируемой организацией в виде платы за сброс загрязняющих веществ сверх установленных нормативов состава сточных вод</t>
  </si>
  <si>
    <t>Республика Татарстан</t>
  </si>
  <si>
    <t>Средства, полученные регулируемой организацией в виде платы за негативное воздействие на работу централизованной системы водоотведения</t>
  </si>
  <si>
    <t>Республика Тыва</t>
  </si>
  <si>
    <t>CS_ID</t>
  </si>
  <si>
    <t>Республика Хакасия</t>
  </si>
  <si>
    <t>IST_TE_ID</t>
  </si>
  <si>
    <t>Ростовская область</t>
  </si>
  <si>
    <t>Рязанская область</t>
  </si>
  <si>
    <t>PT_LOAD_LIST</t>
  </si>
  <si>
    <t>Самарская область</t>
  </si>
  <si>
    <t>Саратовская область</t>
  </si>
  <si>
    <t>HEAT_IP_EVENT_GROUP_LIST</t>
  </si>
  <si>
    <t>VSNA_IP_EVENT_GROUP_LIST</t>
  </si>
  <si>
    <t>VOTV_IP_EVENT_GROUP_LIST</t>
  </si>
  <si>
    <t>OTKO_IP_EVENT_GROUP_LIST</t>
  </si>
  <si>
    <t>Сахалинская область</t>
  </si>
  <si>
    <t>Строительство, реконструкция или модернизация объектов теплоснабжения в целях подключения потребителей с указанием объектов теплоснабжения, строительство которых финансируется за счет платы за подключение</t>
  </si>
  <si>
    <t>Строительство, реконструкция или модернизация объектов водоснабжения в целях подключения потребителей с указанием объектов водоснабжения, строительство которых финансируется за счет платы за подключение</t>
  </si>
  <si>
    <t>Строительство, реконструкция или модернизация объектов водоотведения и очистки сточных вод в целях подключения потребителей с указанием объектов водоотведения и очистки сточных вод, строительство которых финансируется за счет платы за подключение</t>
  </si>
  <si>
    <t>Мероприятия инвестиционной программы в части накопления твердых коммунальных отходов</t>
  </si>
  <si>
    <t>Свердловская область</t>
  </si>
  <si>
    <t>Строительство новых объектов теплоснабжения, не связанных с подключением (технологическим присоединением) новых потребителей, в том числе строительство новых тепловых сетей</t>
  </si>
  <si>
    <t>Строительство новых объектов водоснабжения, не связанных с подключением (технологическим присоединением) новых потребителей, в том числе строительство новых сетей водоснабжения</t>
  </si>
  <si>
    <t>Строительство новых объектов водоотведения и очистки сточных вод, не связанных с подключением (технологическим присоединением) новых потребителей, в том числе строительство новых сетей водоотведения и очистки сточных вод</t>
  </si>
  <si>
    <t>Мероприятия инвестиционной программы в части обработки твердых коммунальных отходов</t>
  </si>
  <si>
    <t>Смоленская область</t>
  </si>
  <si>
    <t>Реконструкция или модернизация существующих объектов теплоснабжения в целях снижения уровня износа существующих объектов теплоснабжения</t>
  </si>
  <si>
    <t>Реконструкция или модернизация существующих объектов водоснабжения в целях снижения уровня износа существующих объектов водоснабжения</t>
  </si>
  <si>
    <t>Реконструкция или модернизация существующих объектов водоотведения и очистки сточных вод в целях снижения уровня износа существующих объектов водоотведения и очистки сточных вод</t>
  </si>
  <si>
    <t>Мероприятия инвестиционной программы в части утилизации твердых коммунальных отходов</t>
  </si>
  <si>
    <t>Ставропольский край</t>
  </si>
  <si>
    <t>Мероприятия, направленные на повышение экологической эффективности</t>
  </si>
  <si>
    <t>Мероприятия инвестиционной программы в части обезвреживания твердых коммунальных отходов</t>
  </si>
  <si>
    <t>Тамбовская область</t>
  </si>
  <si>
    <t>Вывод из эксплуатации, консервации и демонтаж объектов теплоснабжения</t>
  </si>
  <si>
    <t>Вывод из эксплуатации, консервация и демонтаж объектов водоснабжения</t>
  </si>
  <si>
    <t>Вывод из эксплуатации, консервация и демонтаж объектов водоотведения и очистки сточных вод</t>
  </si>
  <si>
    <t>Мероприятия инвестиционной программы в части хранения твердых коммунальных отходов</t>
  </si>
  <si>
    <t>Тверская область</t>
  </si>
  <si>
    <t>Мероприятия, направленные на повышение энергоэффективности в сфере теплоснабжения</t>
  </si>
  <si>
    <t>Мероприятия, направленные на повышение энергоэффективности в сфере водоснабжения</t>
  </si>
  <si>
    <t>Мероприятия, направленные на повышение энергоэффективности в сфере водоотведения и очистки сточных вод</t>
  </si>
  <si>
    <t>Мероприятия инвестиционной программы в части захоронения твердых коммунальных отходов</t>
  </si>
  <si>
    <t>Томская область</t>
  </si>
  <si>
    <t>PT_DIAMETERS_2_LIST</t>
  </si>
  <si>
    <t>Мероприятия по подготовке проектной документации</t>
  </si>
  <si>
    <t>Тульская область</t>
  </si>
  <si>
    <t>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осуществлением деятельности в сфере теплоснабжения, включая мероприятия по обеспечению безопасности и антитеррористической защищенности объектов топливно-энергетического комплекса, безопасности критической информационной инфраструктуры</t>
  </si>
  <si>
    <t>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обеспечением деятельности в сфере горячего водоснабжения, холодного водоснабжения с использованием централизованных систем водоснабжения</t>
  </si>
  <si>
    <t xml:space="preserve">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обеспечением деятельности в сфере водоотведения с использованием централизованных систем водоотведения_x000D_
</t>
  </si>
  <si>
    <t>Тюменская область</t>
  </si>
  <si>
    <t>Удмуртская республика</t>
  </si>
  <si>
    <t>Ульяновская область</t>
  </si>
  <si>
    <t>HEAT_IP_EVENT_SUBGROUP_1_LIST</t>
  </si>
  <si>
    <t>VSNA_IP_EVENT_SUBGROUP_1_LIST</t>
  </si>
  <si>
    <t>VOTV_IP_EVENT_SUBGROUP_1_LIST</t>
  </si>
  <si>
    <t>Хабаровский край</t>
  </si>
  <si>
    <t>строительство новых тепловых сетей в целях подключения потребителей</t>
  </si>
  <si>
    <t>строительство новых сетей водоснабжения в целях подключения потребителей</t>
  </si>
  <si>
    <t>строительство новых сетей водоотведения и очистки сточных вод в целях подключения потребителей</t>
  </si>
  <si>
    <t>Ханты-Мансийский автономный округ</t>
  </si>
  <si>
    <t>строительство иных объектов теплоснабжения за исключением тепловых сетей в целях подключения потребителей</t>
  </si>
  <si>
    <t>строительство иных объектов водоснабжения, за исключением сетей водоснабжения в целях подключения потребителей</t>
  </si>
  <si>
    <t>строительство иных объектов водоотведения и очистки сточных вод, за исключением сетей водоотведения и очистки сточных вод в целях подключения потребителей</t>
  </si>
  <si>
    <t>Челябинская область</t>
  </si>
  <si>
    <t>увеличение пропускной способности существующих тепловых сетей в целях подключения потребителей</t>
  </si>
  <si>
    <t>увеличение пропускной способности существующих сетей водоснабжения в целях подключения потребителей</t>
  </si>
  <si>
    <t>увеличение пропускной способности существующих сетей водоотведения и очистки сточных вод в целях подключения потребителей</t>
  </si>
  <si>
    <t>Чеченская республика</t>
  </si>
  <si>
    <t>увеличение мощности и производительности существующих объектов теплоснабжения за исключением тепловых сетей в целях подключения потребителей</t>
  </si>
  <si>
    <t>увеличение мощности и производительности существующих объектов водоснабжения, за исключением сетей водоснабжения в целях подключения потребителей</t>
  </si>
  <si>
    <t>увеличение мощности и производительности существующих объектов водоотведения и очистки сточных вод за исключением сетей водоотведения и очистки сточных вод, в целях подключения потребителей</t>
  </si>
  <si>
    <t>Чувашская республика</t>
  </si>
  <si>
    <t>TYPE_TKO_LIST</t>
  </si>
  <si>
    <t>Чукотский автономный округ</t>
  </si>
  <si>
    <t>несортированные</t>
  </si>
  <si>
    <t>Ямало-Ненецкий автономный округ</t>
  </si>
  <si>
    <t>сортированные</t>
  </si>
  <si>
    <t>HEAT_IP_EVENT_SUBGROUP_3_LIST</t>
  </si>
  <si>
    <t>VSNA_IP_EVENT_SUBGROUP_3_LIST</t>
  </si>
  <si>
    <t>VOTV_IP_EVENT_SUBGROUP_3_LIST</t>
  </si>
  <si>
    <t>Ярославская область</t>
  </si>
  <si>
    <t>крупногабаритные</t>
  </si>
  <si>
    <t>реконструкция или модернизация существующих тепловых сетей</t>
  </si>
  <si>
    <t>реконструкция или модернизация существующих сетей водоснабжения</t>
  </si>
  <si>
    <t>реконструкция или модернизация существующих сетей водоотведения и очистки сточных вод</t>
  </si>
  <si>
    <t>реконструкция или модернизация существующих объектов теплоснабжения, за исключением тепловых сетей</t>
  </si>
  <si>
    <t>реконструкция или модернизация существующих объектов водоснабжения, за исключением сетей водоснабжения</t>
  </si>
  <si>
    <t>реконструкция или модернизация существующих объектов водоотведения и очистки сточных вод, за исключением сетей водоотведения и очистки сточных вод</t>
  </si>
  <si>
    <t>CLASS_TKO_LIST</t>
  </si>
  <si>
    <t>II</t>
  </si>
  <si>
    <t>HEAT_IP_EVENT_SUBGROUP_5_LIST</t>
  </si>
  <si>
    <t>VSNA_IP_EVENT_SUBGROUP_5_LIST</t>
  </si>
  <si>
    <t>VOTV_IP_EVENT_SUBGROUP_5_LIST</t>
  </si>
  <si>
    <t>III</t>
  </si>
  <si>
    <t>вывод из эксплуатации, консервация и демонтаж тепловых сетей</t>
  </si>
  <si>
    <t>вывод из эксплуатации, консервация и демонтаж сетей водоснабжения</t>
  </si>
  <si>
    <t>вывод из эксплуатации, консервация и демонтаж сетей водоотведения и очистки сточных вод</t>
  </si>
  <si>
    <t>IV</t>
  </si>
  <si>
    <t>вывод из эксплуатации, консервация и демонтаж иных объектов теплоснабжения, за исключением тепловых сетей</t>
  </si>
  <si>
    <t>вывод из эксплуатации, консервация и демонтаж иных объектов водоснабжения, за исключением сетей водоснабжения</t>
  </si>
  <si>
    <t>вывод из эксплуатации, консервация и демонтаж иных объектов водоотведения и очистки сточных вод, за исключением сетей водоотведения и очистки сточных вод</t>
  </si>
  <si>
    <t>V</t>
  </si>
  <si>
    <t>ROIV_INFO_LIST</t>
  </si>
  <si>
    <t>HEAT_IP_EVENT_CI_STAGE_LIST</t>
  </si>
  <si>
    <t>VSNA_IP_EVENT_CI_STAGE_LIST</t>
  </si>
  <si>
    <t>VOTV_IP_EVENT_CI_STAGE_LIST</t>
  </si>
  <si>
    <t>OTKO_IP_EVENT_CI_STAGE_LIST</t>
  </si>
  <si>
    <t>информация об органе регулирования и перечень организаций</t>
  </si>
  <si>
    <t>производство тепловой энергии</t>
  </si>
  <si>
    <t>на забор и подъём воды</t>
  </si>
  <si>
    <t>на транспортировку сточных вод</t>
  </si>
  <si>
    <t>сбор</t>
  </si>
  <si>
    <t>информация о делах об установлении тарифов</t>
  </si>
  <si>
    <t>передача теплоэнергии по региональным тепловым сетям</t>
  </si>
  <si>
    <t>на водоподготовку</t>
  </si>
  <si>
    <t>очистка сточных вод</t>
  </si>
  <si>
    <t>накопление</t>
  </si>
  <si>
    <t>информация о привлечение к ответственности</t>
  </si>
  <si>
    <t>прочие объекты и мероприятия, относимые к регулируемому виду деятельности</t>
  </si>
  <si>
    <t>на транспортировку воды</t>
  </si>
  <si>
    <t>обращение с осадком сточных вод</t>
  </si>
  <si>
    <t>транспортирование</t>
  </si>
  <si>
    <t>обработка</t>
  </si>
  <si>
    <t>UNIT_CONNECT_LIST</t>
  </si>
  <si>
    <t>утилизация</t>
  </si>
  <si>
    <t>тыс.руб./Гкал/ч</t>
  </si>
  <si>
    <t>обезвреживание</t>
  </si>
  <si>
    <t>тыс.руб.</t>
  </si>
  <si>
    <t>размещение отходов</t>
  </si>
  <si>
    <t>руб.</t>
  </si>
  <si>
    <t>энергетическая утилизация</t>
  </si>
  <si>
    <t>WARM_IP_EVENT_TYPE_LIST</t>
  </si>
  <si>
    <t>VSNA_IP_EVENT_TYPE_LIST</t>
  </si>
  <si>
    <t>VOTV_IP_EVENT_TYPE_LIST</t>
  </si>
  <si>
    <t>OTKO_IP_EVENT_TYPE_LIST</t>
  </si>
  <si>
    <t>Производство тепловой энергии</t>
  </si>
  <si>
    <t>Водоснабжение</t>
  </si>
  <si>
    <t>Обращение с твердыми коммунальными отходами</t>
  </si>
  <si>
    <t>Прочие объекты и мероприятия, относимые к регулируемому виду деятельности</t>
  </si>
  <si>
    <t>HEAT_PT_SCHEME</t>
  </si>
  <si>
    <t>Имя листа</t>
  </si>
  <si>
    <t>Наименование, номер формы</t>
  </si>
  <si>
    <t>ТП</t>
  </si>
  <si>
    <t>Форма 16. Информация о наличии (об отсутствии) технической возможности подключения (технологического присоединения) к системе теплоснабжения, а также о принятии и ходе рассмотрения заявок на заключение договора о подключении (технологическом присоединении) к системе теплоснабжения</t>
  </si>
  <si>
    <t>Общая информация об организации</t>
  </si>
  <si>
    <t>Форма 1. Информация о регулируемой организации, единых теплоснабжающих организациях в ценовых зонах теплоснабжения, теплоснабжающих организациях в ценовых зонах теплоснабжения и теплосетевых организациях в ценовых зонах теплоснабжения (общая информация)</t>
  </si>
  <si>
    <t>Форма 1. Информация об организации (общая информация)</t>
  </si>
  <si>
    <t>Договоры</t>
  </si>
  <si>
    <t>Форма 17. Информация об условиях, на которых осуществляется поставка товаров (оказание услуг) в сфере теплоснабжения, цены (тарифы) на которые подлежат регулированию, и (или) условиях договоров о подключении (технологическом присоединении) к системе теплоснабжения содержит сведения об условиях публичных договоров регулируемых организаций, а также сведения о договорах, заключенных в соответствии с частями 2.1 и 2.2 статьи 8 Федерального закона "О теплоснабжении", Информация об условиях, на которых осуществляется поставка товаров (оказание услуг) по ценам, определяемым по соглашению сторон в соответствии с Федеральным законом "О теплоснабжении", и (или) условиях договоров о подключении (технологическом присоединении) к системе теплоснабжения включает сведения об условиях публичных договоров, заключаемых единой теплоснабжающей организацией в ценовых зонах теплоснабжения</t>
  </si>
  <si>
    <t>Форма 10. Информация об условиях, на которых осуществляется оказание регулируемых услуг в области обращения с твердыми коммунальными отходами, а также об условиях договоров на оказание услуг по транспортированию твердых коммунальных отходов</t>
  </si>
  <si>
    <t>Показатели ФХД</t>
  </si>
  <si>
    <t>Форма 8. Информация о товарах (об услугах), поставляемых (оказываемых) единой теплоснабжающей организацией в ценовых зонах теплоснабжения по регулируемым ценам (тарифам) в сфере теплоснабжения, информация о товарах (об услугах), поставляемых (оказываемых) теплоснабжающей организацией в ценовых зонах теплоснабжения и теплосетевой организацией в ценовых зонах теплоснабжения по регулируемым ценам (тарифам) в сфере теплоснабжения</t>
  </si>
  <si>
    <t>Показатели ФХД &gt;20%</t>
  </si>
  <si>
    <t>Форма 11. Информация о расходах на капитальный и текущий ремонт основных средств</t>
  </si>
  <si>
    <t>Форма 6.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t>
  </si>
  <si>
    <t>Показатели КНЭ</t>
  </si>
  <si>
    <t>Форма 12.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t>
  </si>
  <si>
    <t>Форма 7. Информация об основных потребительских характеристиках регулируемых товаров (услуг), тарифы на которые подлежат регулированию, и их соответствии установленным требованиям</t>
  </si>
  <si>
    <t>PRICE_x000D_
_x000D_
Т-ТЭ | &gt;=25МВт_x000D_
Т-ТЭ | ТСО_x000D_
Резерв мощности</t>
  </si>
  <si>
    <t>Форма 3.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t>
  </si>
  <si>
    <t>PRICE_x000D_
_x000D_
Т-ТН_x000D_
Т-передача ТЭ_x000D_
Т-передача ТН</t>
  </si>
  <si>
    <t>Форма 4. Информация_x000D_
об установленных тарифах на теплоноситель, поставляемый теплоснабжающими организациями потребителям, другим теплоснабжающим организациям, об установленных тарифах на услуги по передаче тепловой энергии, теплоносителя, о тарифах на теплоноситель в виде воды, поставляемый единой теплоснабжающей организацией в ценовых зонах теплоснабжения потребителям и теплоснабжающими организациями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t>
  </si>
  <si>
    <t>PRICE_x000D_
_x000D_
Т-гор.вода</t>
  </si>
  <si>
    <t>Форма 5. Информация об установленных тарифах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тарифах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</si>
  <si>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PRICE_x000D_
_x000D_
Т-подкл</t>
  </si>
  <si>
    <t>Форма 7. Информация об установленной плате за подключение (технологическое присоединение) к системе теплоснабжения, о плате за подключение (технологическое присоединение) к системе теплоснабжения, применяемой в случае, установленном частью 9 статьи 23.4 Федерального закона "О теплоснабжении" &lt;1&gt;</t>
  </si>
  <si>
    <t>REQUEST_x000D_
_x000D_
Т-ТЭ | &gt;=25МВт_x000D_
Т-ТЭ | ТСО_x000D_
Резерв мощности</t>
  </si>
  <si>
    <t>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t>
  </si>
  <si>
    <t>REQUEST_x000D_
_x000D_
Т-ТН_x000D_
Т-передача ТЭ_x000D_
Т-передача ТН</t>
  </si>
  <si>
    <t>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t>
  </si>
  <si>
    <t>REQUEST_x000D_
_x000D_
Т-гор.вода</t>
  </si>
  <si>
    <t>Форма 21. Информация о предложении регулируемой организации о расчетной величине тарифов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расчетной величине тарифов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</si>
  <si>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REQUEST_x000D_
_x000D_
Т-подкл</t>
  </si>
  <si>
    <t>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t>
  </si>
  <si>
    <t>PRICE_x000D_
_x000D_
ХВС. Т-пит_x000D_
ХВС. Т-тех_x000D_
ХВС. Т-транс_x000D_
ХВС. Т-подвоз</t>
  </si>
  <si>
    <t>Форма 4. Информация о тарифах в сфере холодного водоснабжения на товары (услуги) организации холодного водоснабжения, подлежащих регулированию (об установленных тарифах на питьевую воду (питьевое водоснабжение); об установленных тарифах на техническую воду; об установленных тарифах на транспортировку воды; об установленных тарифах на подвоз воды))</t>
  </si>
  <si>
    <t>PRICE_x000D_
_x000D_
ХВС. Т-подкл</t>
  </si>
  <si>
    <t>Форма 5. Информация о величинах тарифов на подключение (технологическое присоединение) к централизованной системе холодного водоснабжения &lt;1&gt;</t>
  </si>
  <si>
    <t>REQUEST_x000D_
_x000D_
ХВС. Т-пит_x000D_
ХВС. Т-тех_x000D_
ХВС. Т-транс_x000D_
ХВС. Т-подвоз</t>
  </si>
  <si>
    <t>Форма 15. Информация о предложении расчетной величины тарифов организации холодного водоснабжения об установлении тарифов в сфере холодного водоснабжения на очередной период регулирования &lt;1&gt;</t>
  </si>
  <si>
    <t>REQUEST_x000D_
_x000D_
ХВС. Т-подкл</t>
  </si>
  <si>
    <t>Форма 16. Информация о предложении организации холодного водоснабжения расчетной величины тарифов на подключение (технологическое присоединение) к централизованной системе холодного водоснабжения &lt;1&gt;</t>
  </si>
  <si>
    <t>PRICE_x000D_
_x000D_
ГВС. Т-гор.вода_x000D_
ГВС. Т-транс</t>
  </si>
  <si>
    <t>Форма 4. Информация о тарифах в сфере горячего водоснабжения на товары (услуги) организации горячего водоснабжения, подлежащих регулированию (об установленных тарифах на горячую воду (горячее водоснабжение); об установленных тарифах на транспортировку горячей воды) &lt;1&gt;</t>
  </si>
  <si>
    <t>PRICE_x000D_
_x000D_
ГВС. Т-подкл</t>
  </si>
  <si>
    <t>Форма 5. Информация об установленных тарифах на подключение (технологическое присоединение) к централизованной системе горячего водоснабжения &lt;1&gt;</t>
  </si>
  <si>
    <t>REQUEST_x000D_
_x000D_
ГВС. Т-гор.вода_x000D_
ГВС. Т-транс</t>
  </si>
  <si>
    <t>Форма 16. Информация о предложении расчетной величины тарифов организации горячего водоснабжения об установлении тарифов в сфере горячего водоснабжения на очередной период регулирования &lt;1&gt;</t>
  </si>
  <si>
    <t>REQUEST_x000D_
_x000D_
ГВС. Т-подкл</t>
  </si>
  <si>
    <t>Форма 17. Информация о предложении расчетной величины тарифов на подключение (технологическое присоединение) к централизованной системе горячего водоснабжения &lt;1&gt;</t>
  </si>
  <si>
    <t>PRICE_x000D_
_x000D_
ВО. Т-во_x000D_
ВО. Т-транс</t>
  </si>
  <si>
    <t>Форма 3. Информация о тарифах в сфере водоотведения на товары (услуги) организации водоотведения, подлежащих регулированию (об установленных тарифах на водоотведение; об установленных тарифах на транспортировку сточных вод) &lt;1&gt;</t>
  </si>
  <si>
    <t>PRICE_x000D_
_x000D_
ВО. Т-подкл</t>
  </si>
  <si>
    <t>Форма 4.  Информация об установленных тарифах на подключение (технологическое присоединение) к централизованной системе водоотведения &lt;1&gt;</t>
  </si>
  <si>
    <t>REQUEST_x000D_
_x000D_
ВО. Т-во_x000D_
ВО. Т-транс</t>
  </si>
  <si>
    <t>Форма 16. Информация о предложении расчетной величины тарифов организации водоотведения об установлении тарифов в сфере водоотведения на очередной период регулирования &lt;1&gt;</t>
  </si>
  <si>
    <t>REQUEST_x000D_
_x000D_
ВО. Т-подкл</t>
  </si>
  <si>
    <t>Форма 17. Информация о предложении расчетной величины тарифов на подключение к централизованной системе водоотведения &lt;1&gt;</t>
  </si>
  <si>
    <t>Сведения о закупках</t>
  </si>
  <si>
    <t>Форма 19. Информация о способах приобретения, стоимости и об объемах товаров, необходимых регулируемой организации для производства товаров (оказания услуг) в сфере теплоснабжения, цены (тарифы) на которые подлежат регулированию, о способах приобретения, стоимости и об объемах товаров, необходимых для производства товаров и (или) оказания услуг единой теплоснабжающей организацией в ценовых зонах теплоснабжения, о способах приобретения, стоимости и об объемах товаров, необходимых для производства товаров и (или) оказания услуг теплоснабжающей организацией в ценовых зонах теплоснабжения и теплосетевой организацией в ценовых зонах теплоснабжения</t>
  </si>
  <si>
    <t>Форма 11.  Информация о способах приобретения, стоимости и об объемах товаров, работ и услуг, необходимых организации для осуществления регулируемых видов деятельности, содержит сведения о правовых актах, регламентирующих правила закупки (положение о закупке) в организации, о месте их размещения, а также сведения о планировании закупок и результатах их проведения</t>
  </si>
  <si>
    <t>Порядок ТП</t>
  </si>
  <si>
    <t>Форма 18. Информация о порядке выполнения технологических, технических и других мероприятий, связанных с подключением (технологическим присоединением) к системе теплоснабжения &lt;1&gt;</t>
  </si>
  <si>
    <t>пункт НПА</t>
  </si>
  <si>
    <t>подпункт НПА</t>
  </si>
  <si>
    <t>состав пункта</t>
  </si>
  <si>
    <t>описание парметров</t>
  </si>
  <si>
    <t>номер пункта</t>
  </si>
  <si>
    <t>описание параметров</t>
  </si>
  <si>
    <t>описание к листу Общая информация об организации</t>
  </si>
  <si>
    <t>В случае если регулируемыми организациями,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оказываются услуги по теплоснабжению по нескольким технологически не связанным между собой централизованным системам теплоснабжения, и если в отношении указанных систем устанавливаются различные тарифы в сфере теплоснабжения, то информация раскрывается отдельно по каждой централизованной системе теплоснабжения.</t>
  </si>
  <si>
    <t>В случае если регулируемыми организациями оказываются услуги по холодному водоснабжению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t>
  </si>
  <si>
    <t>В случае если регулируемыми организациями оказываются услуги по горячему водоснабжению по нескольким технологически не связанным между собой централизованным системам горячего водоснабжения, и если в отношении указанных систем устанавливаются различные тарифы в сфере горячего водоснабжения, то информация раскрывается отдельно по каждой централизованной системе горячего водоснабжения.</t>
  </si>
  <si>
    <t>В случае если регулируемыми организациями оказываются услуги по водоотведению по нескольким технологически не связанным между собой централизованным системам водоотведения, и если в отношении указанных систем устанавливаются различные тарифы в сфере водоотведения, то информация раскрывается отдельно по каждой централизованной системе водоотведения.</t>
  </si>
  <si>
    <t>66</t>
  </si>
  <si>
    <t>а</t>
  </si>
  <si>
    <t>Количество поданных заявок</t>
  </si>
  <si>
    <t xml:space="preserve">Количество поданных заявлений </t>
  </si>
  <si>
    <t>Указывается количество поданных заявок на подключение (технологическое присоединение) к системе теплоснабжения в течение отчетного квартала.</t>
  </si>
  <si>
    <t>б</t>
  </si>
  <si>
    <t>Количество рассмотренных заявок</t>
  </si>
  <si>
    <t xml:space="preserve">Количество исполненных заявлений </t>
  </si>
  <si>
    <t>Указывается количество исполненных заявок на подключение (технологическое присоединение) к системе теплоснабжения в течение отчетного квартала.</t>
  </si>
  <si>
    <t>в</t>
  </si>
  <si>
    <t>Количество заявок на заключение договора о подключении (технологическом присоединении) к системе теплоснабжения, по которым регулируемой организацией отказано в заключении договора о подключении (технологическом присоединении) к системе теплоснабжения</t>
  </si>
  <si>
    <t>Количество заявлений о заключении договоров о подключении (технологическом присоединении)</t>
  </si>
  <si>
    <t>Указывается количество заявок с решением об отказе в течение отчетного квартала.</t>
  </si>
  <si>
    <t>Причины отказа в заключении договора о подключении (технологическом присоединении) к системе теплоснабжения</t>
  </si>
  <si>
    <t>Указывается текстовое описание причин принятия решений._x000D_
Не заполняется в случае, если решения об отказе в течение отчетного периода не принимались.</t>
  </si>
  <si>
    <t>г</t>
  </si>
  <si>
    <t>Резерв мощности источников тепловой энергии, входящих в систему теплоснабжения, в течение одного квартала, в том числе:</t>
  </si>
  <si>
    <t xml:space="preserve">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организации._x000D_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t>
  </si>
  <si>
    <t>Выручка от регулируемого вида деятельности с распределением по видам деятельности</t>
  </si>
  <si>
    <t>Выручка от регулируемых видов деятельности в сфере холодного водоснабжения</t>
  </si>
  <si>
    <t>Выручка от регулируемых видов деятельности в сфере горячего водоснабжения</t>
  </si>
  <si>
    <t>Выручка от регулируемых видов деятельности в сфере водоотведения</t>
  </si>
  <si>
    <t>Указывается выручка от регулируемого вида деятельности с распределением по видам деятельности.</t>
  </si>
  <si>
    <t>Указывается выручка с распределением по видам деятельности.</t>
  </si>
  <si>
    <t>Себестоимость производимых товаров (оказываемых услуг) по регулируемому виду деятельности, включая:</t>
  </si>
  <si>
    <t>Себестоимость производимых товаров (оказываемых услуг) по регулируемым видам деятельности в сфере холодного водоснабжения, включая:</t>
  </si>
  <si>
    <t>Себестоимость производимых товаров (оказываемых услуг) по регулируемым видам деятельности в сфере горячего водоснабжения, включая:</t>
  </si>
  <si>
    <t>Себестоимость производимых товаров (оказываемых услуг) по регулируемым видам деятельности в сфере водоотведения, включая:</t>
  </si>
  <si>
    <t>Указывается суммарная себестоимость производимых товаров.</t>
  </si>
  <si>
    <t>Расходы на приобретаемую тепловую энергию (мощность), теплоноситель</t>
  </si>
  <si>
    <t>Расходы на оплату холодной воды, приобретаемой у других организаций для последующей подачи потребителям</t>
  </si>
  <si>
    <t>Расходы на приобретаемую тепловую энергию (мощность), используемую для горячего водоснабжения</t>
  </si>
  <si>
    <t>Расходы на оплату услуг по приему, транспортировке и очистке сточных вод другими организациями</t>
  </si>
  <si>
    <t>Расходы на топливо с указанием по каждому виду топлива стоимости (за единицу объема), объема и способа его приобретения, стоимости его доставки</t>
  </si>
  <si>
    <t>Указываются суммарные расходы на приобретение топлива всех видов.</t>
  </si>
  <si>
    <t>Расходы на тепловую энергию, производимую с применением собственных источников и используемую для горячего водоснабжения</t>
  </si>
  <si>
    <t>Расходы на приобретаемую холодную воду, используемую для горячего водоснабжения</t>
  </si>
  <si>
    <t>2.4</t>
  </si>
  <si>
    <t>Расходы на холодную воду, получаемую с применением собственных источников водозабора (скважин) и используемую для горячего водоснабжения</t>
  </si>
  <si>
    <t>2.5</t>
  </si>
  <si>
    <t>Расходы на приобретаемую электрическую энергию (мощность), используемую в технологическом процессе</t>
  </si>
  <si>
    <t>6.1</t>
  </si>
  <si>
    <t>2.3.1</t>
  </si>
  <si>
    <t>2.2.1</t>
  </si>
  <si>
    <t>2.5.1</t>
  </si>
  <si>
    <t>Средневзвешенная стоимость 1 кВт.ч (с учетом мощности)</t>
  </si>
  <si>
    <t>6.2</t>
  </si>
  <si>
    <t>2.3.2</t>
  </si>
  <si>
    <t>2.2.2</t>
  </si>
  <si>
    <t>2.5.2</t>
  </si>
  <si>
    <t>Объём приобретения электрической энергии</t>
  </si>
  <si>
    <t>Расходы на приобретение холодной воды, используемой в технологическом процессе</t>
  </si>
  <si>
    <t>Расходы на химические реагенты, используемые в технологическом процессе</t>
  </si>
  <si>
    <t>2.6</t>
  </si>
  <si>
    <t>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t>
  </si>
  <si>
    <t>Указывается общая сумма расходов на оплату труда и отчислений на социальные нужды основного производственного персонала.</t>
  </si>
  <si>
    <t>9.1</t>
  </si>
  <si>
    <t>2.6.1</t>
  </si>
  <si>
    <t>2.4.1</t>
  </si>
  <si>
    <t>Расходы на оплату труда основного производственного персонала</t>
  </si>
  <si>
    <t>9.2</t>
  </si>
  <si>
    <t>2.6.2</t>
  </si>
  <si>
    <t>2.4.2</t>
  </si>
  <si>
    <t>Страховые взносы на обязательное социальное страхование, выплачиваемые из фонда оплаты труда основного производственного персонала</t>
  </si>
  <si>
    <t>2.7</t>
  </si>
  <si>
    <t>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t>
  </si>
  <si>
    <t>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t>
  </si>
  <si>
    <t>Указывается общая сумма расходов на оплату труда и отчислений на социальные нужды административно-управленческого персонала.</t>
  </si>
  <si>
    <t>10.1</t>
  </si>
  <si>
    <t>2.7.1</t>
  </si>
  <si>
    <t>Расходы на оплату труда административно-управленческого персонала</t>
  </si>
  <si>
    <t>Расходы на оплату труда административно-управленческого персонала, в том числе:</t>
  </si>
  <si>
    <t>10.2</t>
  </si>
  <si>
    <t>2.7.2</t>
  </si>
  <si>
    <t>Страховые взносы на обязательное социальное страхование, выплачиваемые из фонда оплаты труда административно-управленческого персонала</t>
  </si>
  <si>
    <t>2.8</t>
  </si>
  <si>
    <t>Расходы на амортизацию основных средств и нематериальных активов</t>
  </si>
  <si>
    <t>11.1</t>
  </si>
  <si>
    <t>2.8.1</t>
  </si>
  <si>
    <t>Расходы на амортизацию основных средств</t>
  </si>
  <si>
    <t>11.2</t>
  </si>
  <si>
    <t>2.8.2</t>
  </si>
  <si>
    <t>Расходы на амортизацию нематериальных активов</t>
  </si>
  <si>
    <t>2.9</t>
  </si>
  <si>
    <t>Расходы на аренду имущества, используемого для осуществления регулируемого вида деятельности</t>
  </si>
  <si>
    <t>Расходы на аренду имущества, используемого для осуществления регулируемых видов деятельности в сфере холодного водоснабжения</t>
  </si>
  <si>
    <t>Расходы на аренду имущества, используемого для осуществления регулируемых видов деятельности в сфере горячего водоснабжения</t>
  </si>
  <si>
    <t>Расходы на аренду имущества, используемого для осуществления регулируемых видов деятельности в сфере водоотведения</t>
  </si>
  <si>
    <t>2.10</t>
  </si>
  <si>
    <t>Общепроизводственные расходы, в том числе:</t>
  </si>
  <si>
    <t>Указывается общая сумма общепроизводственных расходов.</t>
  </si>
  <si>
    <t>13.1</t>
  </si>
  <si>
    <t>2.10.1</t>
  </si>
  <si>
    <t>Расходы на текущий ремонт</t>
  </si>
  <si>
    <t>Указываются расходы на текущий ремонт, отнесенные к общепроизводственным расходам.</t>
  </si>
  <si>
    <t>13.2</t>
  </si>
  <si>
    <t>2.10.2</t>
  </si>
  <si>
    <t>Расходы на капитальный ремонт</t>
  </si>
  <si>
    <t>Указываются расходы на капитальный ремонт, отнесенные к общепроизводственным расходам.</t>
  </si>
  <si>
    <t>2.11</t>
  </si>
  <si>
    <t>Общехозяйственные расходы, в том числе:</t>
  </si>
  <si>
    <t>Указывается общая сумма общехозяйственных расходов.</t>
  </si>
  <si>
    <t>14.1</t>
  </si>
  <si>
    <t>2.11.1</t>
  </si>
  <si>
    <t>2.9.1</t>
  </si>
  <si>
    <t>Указываются расходы на текущий ремонт, отнесенные к общехозяйственным расходам.</t>
  </si>
  <si>
    <t>14.2</t>
  </si>
  <si>
    <t>2.11.2</t>
  </si>
  <si>
    <t>2.9.2</t>
  </si>
  <si>
    <t>Указываются расходы на капитальный ремонт, отнесенные к общехозяйственным расходам.</t>
  </si>
  <si>
    <t>2.12</t>
  </si>
  <si>
    <t>Расходы на капитальный и текущий ремонт основных средств</t>
  </si>
  <si>
    <t>Указывается информация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t>
  </si>
  <si>
    <t>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t>
  </si>
  <si>
    <t>15.1</t>
  </si>
  <si>
    <t>2.12.1</t>
  </si>
  <si>
    <t>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t>
  </si>
  <si>
    <t>2.13</t>
  </si>
  <si>
    <t xml:space="preserve">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t>
  </si>
  <si>
    <t>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t>
  </si>
  <si>
    <t>16.1</t>
  </si>
  <si>
    <t>2.13.1</t>
  </si>
  <si>
    <t>2.14</t>
  </si>
  <si>
    <t>Прочие расходы, которые подлежат отнесению на регулируемые виды деятельности в соответствии с законодательством Российской Федерации</t>
  </si>
  <si>
    <t>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t>
  </si>
  <si>
    <t>Прочие расходы, которые отнесены на регулируемые виды деятельности в сфере горячего водоснабжения, в соответствии с Основами ценообразования в сфере водоснабжения и водоотведения</t>
  </si>
  <si>
    <t>Прочие расходы, которые подлежат отнесению на регулируемые виды деятельности в сфере водоотведения в соответствии с Основами ценообразования в сфере водоснабжения и водоотведения</t>
  </si>
  <si>
    <t>Указывается общая сумма прочих расходов, которые подлежат отнесению на регулируемые виды деятельности в соответствии с законодательством в сфере теплоснабжения.</t>
  </si>
  <si>
    <t>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t>
  </si>
  <si>
    <t>д</t>
  </si>
  <si>
    <t>Валовая прибыль (убытки) от реализации товаров и оказания услуг по регулируемому виду деятельности</t>
  </si>
  <si>
    <t>Чистая прибыль, полученная от регулируемого вида деятельности, в том числе:</t>
  </si>
  <si>
    <t>Чистая прибыль, полученная от регулируемого вида деятельности в сфере холодного водоснабжения, в том числе:</t>
  </si>
  <si>
    <t>Чистая прибыль, полученная от регулируемого вида деятельности в сфере горячего водоснабжения, в том числе:</t>
  </si>
  <si>
    <t>Чистая прибыль, полученная от регулируемого вида деятельности в сфере водоотведения, в том числе:</t>
  </si>
  <si>
    <t>Указывается общая сумма чистой прибыли, полученной от регулируемого вида деятельности.</t>
  </si>
  <si>
    <t>4.1</t>
  </si>
  <si>
    <t>Размер расходования чистой прибыли на финансирование мероприятий, предусмотренных инвестиционной программой регулируемой организации</t>
  </si>
  <si>
    <t>Изменение стоимости основных фондов, в том числе:</t>
  </si>
  <si>
    <t>Указывается общее изменение стоимости основных фондов.</t>
  </si>
  <si>
    <t>Изменение стоимости основных фондов за счет:</t>
  </si>
  <si>
    <t>Изменение стоимости основных фондов за счет их ввода в эксплуатацию (вывода из эксплуатации)</t>
  </si>
  <si>
    <t>Указываются общее изменение стоимости основных фондов за счет их ввода в эксплуатацию и вывода из эксплуатации.</t>
  </si>
  <si>
    <t>5.1.1</t>
  </si>
  <si>
    <t>4.1.1</t>
  </si>
  <si>
    <t>Изменения стоимости основных фондов за счет их ввода в эксплуатацию</t>
  </si>
  <si>
    <t>Изменение стоимости основных фондов за счет их ввода в эксплуатацию</t>
  </si>
  <si>
    <t>Указываются изменение стоимости основных фондов за счет их ввода в эксплуатацию.</t>
  </si>
  <si>
    <t>5.1.2</t>
  </si>
  <si>
    <t>4.1.2</t>
  </si>
  <si>
    <t>Изменения стоимости основных фондов за счет их вывода в эксплуатацию</t>
  </si>
  <si>
    <t>Изменение стоимости основных фондов за счет их вывода в эксплуатацию</t>
  </si>
  <si>
    <t>Указываются изменение стоимости основных фондов за счет их вывода из эксплуатации.</t>
  </si>
  <si>
    <t>4.2</t>
  </si>
  <si>
    <t>Изменение стоимости основных фондов за счет их переоценки</t>
  </si>
  <si>
    <t>Валовая прибыль (убытки) от продажи товаров и услуг по регулируемым видам деятельности в сфере холодного водоснабжения</t>
  </si>
  <si>
    <t>Валовая прибыль (убытки) от продажи товаров и услуг по регулируемым видам деятельности в сфере горячего водоснабжения</t>
  </si>
  <si>
    <t>Валовая прибыль (убытки) от продажи товаров и услуг по регулируемым видам деятельности в сфере водоотведения</t>
  </si>
  <si>
    <t>е</t>
  </si>
  <si>
    <t>Годовая бухгалтерская (финансовая) отчетность, включая бухгалтерский баланс и приложения к нему</t>
  </si>
  <si>
    <t>Указывается ссылка на документ, предварительно загруженный в хранилище файлов ФГИС ЕИАС._x000D_
Регулируемыми организациями информация раскрывается в случае, если выручка от регулируемых видов деятельности превышает 80 процентов совокупной выручки за отчетный год.</t>
  </si>
  <si>
    <t>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t>
  </si>
  <si>
    <t>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водоотведения и (или) водоотведения которой превышает 80 процентов совокупной выручки за отчетный год.</t>
  </si>
  <si>
    <t>ж</t>
  </si>
  <si>
    <t>Объём поднятой воды</t>
  </si>
  <si>
    <t>з</t>
  </si>
  <si>
    <t>Объём покупной воды</t>
  </si>
  <si>
    <t>и</t>
  </si>
  <si>
    <t>Объём воды, пропущенной через очистные сооружения</t>
  </si>
  <si>
    <t>к</t>
  </si>
  <si>
    <t>Объём отпущенной потребителям воды, в том числе:</t>
  </si>
  <si>
    <t>Указывается общий объем отпущенной потребителям воды.</t>
  </si>
  <si>
    <t>Объём отпущенной потребителям воды, определенный по приборам учета</t>
  </si>
  <si>
    <t>Объём отпущенной потребителям воды, определенный расчетным способом</t>
  </si>
  <si>
    <t>10.2.1</t>
  </si>
  <si>
    <t>Объём отпущенной потребителям воды, определенный по нормативам потребления коммунальных услуг</t>
  </si>
  <si>
    <t>10.2.2</t>
  </si>
  <si>
    <t xml:space="preserve">Объём отпущенной потребителям воды, определенный по нормативам потребления коммунальных ресурсов </t>
  </si>
  <si>
    <t>л</t>
  </si>
  <si>
    <t>Потери воды в сетях</t>
  </si>
  <si>
    <t>Объём приобретаемой холодной воды, используемой для горячего водоснабжения</t>
  </si>
  <si>
    <t>Объём холодной воды, получаемой с применением собственных источников водозабора (скважин) и используемой для горячего водоснабжения</t>
  </si>
  <si>
    <t>Объём приобретаемой тепловой энергии (мощности), используемой для горячего водоснабжения</t>
  </si>
  <si>
    <t>Объём тепловой энергии, производимой с применением собственных источников и используемой для горячего водоснабжения</t>
  </si>
  <si>
    <t>Потери горячей воды в сетях (процентов)</t>
  </si>
  <si>
    <t>Объём сточных вод, принятых от потребителей</t>
  </si>
  <si>
    <t>Объём сточных вод, принятых от других регулируемых организаций, осуществляющих водоотведение и (или) очистку сточных вод</t>
  </si>
  <si>
    <t>Объём сточных вод, пропущенных через очистные сооружения</t>
  </si>
  <si>
    <t>Установленная тепловая мощность объектов основных фондов, используемых для теплоснабжения, в том числе по каждому источнику тепловой энергии</t>
  </si>
  <si>
    <t>Указывается суммарная установленная тепловая мощность объектов основных фондов, используемых для осуществления теплоснабжения._x000D_
Регулируемыми организациями указывается информация по объектам, используемым для осуществления регулируемых видов деятельности.</t>
  </si>
  <si>
    <t>Тепловая нагрузка по договорам, заключенным в рамках осуществления регулируемых видов деятельности</t>
  </si>
  <si>
    <t>Регулируемыми организациями указывается информация по договорам, заключенным в рамках осуществления регулируемых видов деятельности</t>
  </si>
  <si>
    <t>Объем вырабатываемой регулируемой организацией тепловой энергии в рамках осуществления регулируемых видов деятельности</t>
  </si>
  <si>
    <t>Регулируемыми организациями указывается информация тепловой энергии, выработанной в рамках осуществления регулируемых видов деятельности.</t>
  </si>
  <si>
    <t>Объем приобретаемой регулируемой организацией тепловой энергии в рамках осуществления регулируемых видов деятельности</t>
  </si>
  <si>
    <t>Информация указывается только едиными теплоснабжающими организациями.</t>
  </si>
  <si>
    <t>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t>
  </si>
  <si>
    <t>Указывается общий объем тепловой энергии, отпускаемой потребителям._x000D_
Регулируемыми организациями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t>
  </si>
  <si>
    <t xml:space="preserve">По приборам учёта </t>
  </si>
  <si>
    <t>10.1.1</t>
  </si>
  <si>
    <t>Определенный по приборам учета объем тепловой энергии, отпускаемой по договорам потребителям, максимальный объем потребления тепловой энергии объектов которых составляет менее чем 0,2 Гкал</t>
  </si>
  <si>
    <t>Расчётным путём</t>
  </si>
  <si>
    <t>10.3</t>
  </si>
  <si>
    <t>По нормативам потребления коммунальных услуг и нормативам потребления коммунальных ресурсов</t>
  </si>
  <si>
    <t>м</t>
  </si>
  <si>
    <t>Нормативы технологических потерь при передаче тепловой энергии, теплоносителя по тепловым сетям, утвержденные уполномоченным органом</t>
  </si>
  <si>
    <t>н</t>
  </si>
  <si>
    <t>Фактический объем потерь при передаче тепловой энергии</t>
  </si>
  <si>
    <t>о</t>
  </si>
  <si>
    <t>Среднесписочная численность основного производственного персонала</t>
  </si>
  <si>
    <t>п</t>
  </si>
  <si>
    <t>Среднесписочная численность административно-управленческого персонала</t>
  </si>
  <si>
    <t>Удельный расход электрической энергии на подачу воды в сеть</t>
  </si>
  <si>
    <t>Расход воды на собственные нужды, в том числе:</t>
  </si>
  <si>
    <t>Указывается доля общего расхода воды на собственные нужны от объема отпуска воды потребителям.</t>
  </si>
  <si>
    <t>Расход воды на хозяйственно-бытовые нужды</t>
  </si>
  <si>
    <t>Указывается доля расхода воды на хозяйственно-бытовые нужны от объема отпуска воды потребителям.</t>
  </si>
  <si>
    <t>Показатель использования производственных объектов (по объему перекачки), в том числе:</t>
  </si>
  <si>
    <t>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t>
  </si>
  <si>
    <t>р</t>
  </si>
  <si>
    <t>Норматив удельного расхода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t>
  </si>
  <si>
    <t>с</t>
  </si>
  <si>
    <t>Фактический удельный расход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t>
  </si>
  <si>
    <t>Регулируемыми организациями указывается информация с распределением по источникам тепловой энергии, используемым для осуществления регулируемых видов деятельности.</t>
  </si>
  <si>
    <t>т</t>
  </si>
  <si>
    <t>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t>
  </si>
  <si>
    <t>Регулируемыми организациями указывается информация с по договорам, заключенным в рамках осуществления регулируемой деятельности.</t>
  </si>
  <si>
    <t>у</t>
  </si>
  <si>
    <t>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t>
  </si>
  <si>
    <t>ф</t>
  </si>
  <si>
    <t>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t>
  </si>
  <si>
    <t>Указывается ссылка на документ, предварительно загруженный в хранилище файлов ФГИС ЕИАС.</t>
  </si>
  <si>
    <t>19.1</t>
  </si>
  <si>
    <t>Информация о показателях физического износа объектов теплоснабжения</t>
  </si>
  <si>
    <t>19.2</t>
  </si>
  <si>
    <t>Информация о показателях энергетической эффективности объектов теплоснабжения</t>
  </si>
  <si>
    <t>27/44</t>
  </si>
  <si>
    <t>68</t>
  </si>
  <si>
    <t>Сведения об условиях публичных договоров регулируемых организаций,  сведения об условиях публичных договоров, заключаемых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в том числе</t>
  </si>
  <si>
    <t>Сведения об условиях публичных договоров на оказание регулируемых услуг в области обращения с твердыми коммунальными отходами</t>
  </si>
  <si>
    <t>Форма 4.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  &lt;1&gt;</t>
  </si>
  <si>
    <t>Период действия тарифа</t>
  </si>
  <si>
    <t>Добавить период</t>
  </si>
  <si>
    <t>Добавить источник тепловой энергии</t>
  </si>
  <si>
    <t>Добавить наименование системы теплоснабжения</t>
  </si>
  <si>
    <t>pt_vtar_3</t>
  </si>
  <si>
    <t>pt_ntar_4p</t>
  </si>
  <si>
    <t>pt_ter_4p</t>
  </si>
  <si>
    <t>pt_cs_4p</t>
  </si>
  <si>
    <t>pt_ist_te_4p</t>
  </si>
  <si>
    <t>pt_vtar_4p</t>
  </si>
  <si>
    <t>pt_ntar_4i</t>
  </si>
  <si>
    <t>pt_ter_4i</t>
  </si>
  <si>
    <t>pt_cs_4i</t>
  </si>
  <si>
    <t>pt_ist_te_4i</t>
  </si>
  <si>
    <t>pt_vtar_4i</t>
  </si>
  <si>
    <r>
      <t>Форма 4.2.5 Информация о плате за подключение к системе теплоснабжения в индивидуальном порядке</t>
    </r>
    <r>
      <rPr>
        <vertAlign val="superscript"/>
        <sz val="10"/>
        <rFont val="Tahoma"/>
        <family val="2"/>
        <charset val="204"/>
      </rPr>
      <t>1</t>
    </r>
  </si>
  <si>
    <t>NDS</t>
  </si>
  <si>
    <t>woNDS</t>
  </si>
  <si>
    <t>Заявитель</t>
  </si>
  <si>
    <t>Наименование объекта, адрес</t>
  </si>
  <si>
    <t>Подключаемая тепловая нагрузка, Гкал/ч</t>
  </si>
  <si>
    <t>Плата за подключение (технологическое присоединение), тыс. руб./Гкал/ч (руб.)</t>
  </si>
  <si>
    <t>Указывается наименование источника тепловой энергии.</t>
  </si>
  <si>
    <t>В колонке «Заявитель» указывается наименование заявителя,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категориям потребителей/заявителям информация по ним указывается в отдельных строках._x000D_
В случае дифференциации по периодам действия тарифа информация по ним указывается в отдельных колонках.</t>
  </si>
  <si>
    <t xml:space="preserve">При размещении информации по данной форме дополнительно указываются: наименование органа регулирования тарифов, принявшего решение об утверждении тарифа, дата и номер документа об утверждении тарифа, источник официального опубликования решения._x000D_
_x000D_
По данной форме раскрывается в том числе информация о тарифах на товары (услуги) в сфере теплоснабжения в случаях, указанных в частях 12.1 - 12.4 статьи 10 Федерального закона № 190-ФЗ, теплоснабжающей организации, теплосетевой организации в ценовых зонах теплоснабжения._x000D_
</t>
  </si>
  <si>
    <t>наименование НПА</t>
  </si>
  <si>
    <t>контактный телефон службы</t>
  </si>
  <si>
    <t>адрес службы</t>
  </si>
  <si>
    <t>график работы службы</t>
  </si>
  <si>
    <t>c 01:03 до 18:55</t>
  </si>
  <si>
    <t>Информация о размещении данных на сайте регулируемой организации</t>
  </si>
  <si>
    <t>дата размещения информации</t>
  </si>
  <si>
    <t>Дата размещения информации указывается в виде «ДД.ММ.ГГГГ».</t>
  </si>
  <si>
    <t>адрес страницы сайта в сети «Интернет» и ссылка на документ</t>
  </si>
  <si>
    <t>В колонке «Информация» указывается адрес страницы сайта в сети «Интернет», на которой размещена информация._x000D_
В колонке «Ссылка на документ» указывается ссылка на скриншот страницы сайта в сети «Интернет», предварительно загруженный в хранилище файлов ФГИС ЕИАС, на которой размещена информация.</t>
  </si>
  <si>
    <t xml:space="preserve">Указывается ссылка на документ, предварительно загруженный в хранилище файлов ФГИС ЕИАС._x000D_
В случае наличия дополнительных сведений информация по ним указывается в отдельных строках._x000D_
</t>
  </si>
  <si>
    <t>В колонке «Информация» указывается полное наименование и реквизиты НПА._x000D_
В случае наличия нескольких НПА каждое из них указывается в отдельной строке.</t>
  </si>
  <si>
    <t>Указывается номер контактного телефона службы, ответственной за прием и обработку заявок о подключении к централизованной системе теплоснабжения. _x000D_
В случае наличия нескольких служб и (или) номеров телефонов, информация по каждому из них указывается в отдельной строке.</t>
  </si>
  <si>
    <t>5.2.1</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</si>
  <si>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 Данные указываются согласно наименованиям адресных объектов в ФИАС._x000D_
В случае наличия нескольких служб и (или) адресов, информация по каждому из них указывается в отдельной строке.</t>
  </si>
  <si>
    <t>5.3.1</t>
  </si>
  <si>
    <t>Указывается график работы службы, ответственной за прием и обработку заявок о подключении к централизованной системе теплоснабжения. _x000D_
В случае наличия нескольких служб и (или) графиков работы, информация по каждому из них указывается в отдельной строке.</t>
  </si>
  <si>
    <t>В колонке «Информация» указывается описательная информация, характеризующая размещаемые данные._x000D_
В колонке «Ссылка на документ» указывается либо ссылка на документ, предварительно загруженный в хранилище файлов ФГИС ЕИАС, либо ссылка на официальный сайт в сети «Интернет», на котором размещена информация.</t>
  </si>
  <si>
    <t xml:space="preserve"> Указываются сведения о закупках, сумма стоимости приобретения товаров и услуг по которым превышает 20% суммы от плановой НВВ на очередной период регулирования.</t>
  </si>
  <si>
    <t>Форма 13.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t>
  </si>
  <si>
    <t>Единица измерения</t>
  </si>
  <si>
    <t>Количество аварий на тепловых сетях</t>
  </si>
  <si>
    <t>ед. на км</t>
  </si>
  <si>
    <t>Указывается количество любых нарушений на тепловых сетях в расчете на один километр трубопровода.</t>
  </si>
  <si>
    <t>Количество аварий на источниках тепловой энергии</t>
  </si>
  <si>
    <t>ед. на источник</t>
  </si>
  <si>
    <t>Указывается количество любых нарушений на источниках тепловой энергии</t>
  </si>
  <si>
    <t>Показатели надежности и качества, установленные в соответствии с законодательством Российской Федерации</t>
  </si>
  <si>
    <t>В колонке «Ссылка на документ» указывается материал в виде ссылки на документ, содержащий информацию об установленных показателях надежности и качества, предварительно загруженный в хранилище данных ФГИС ЕИАС._x000D_
В случае, если показатели надежности и качества не утверждены в колонке «Информация» указывается «Не утверждены»._x000D_
Информация в данной строке не указывается теплоснабжающими организациями, теплосетевыми организациями в ценовых зонах теплоснабжения.</t>
  </si>
  <si>
    <t>Сведения о несоблюдении значений параметров качества теплоснабжения и (или) параметров, отражающих допустимые перерывы в теплоснабжении</t>
  </si>
  <si>
    <t>Информация в строках 4.1 – 4.3 указывается в случае, если организация имеет статус единой теплоснабжающей организации.</t>
  </si>
  <si>
    <t>количество составленных актов, подтверждающих факт превышения разрешенных отклонений значений параметров</t>
  </si>
  <si>
    <t>шт.</t>
  </si>
  <si>
    <t>средняя продолжительность устранения превышения разрешенных отклонений значений параметров</t>
  </si>
  <si>
    <t>дн.</t>
  </si>
  <si>
    <t>4.3</t>
  </si>
  <si>
    <t>совокупная величина снижения размера платы за тепловую энергию (мощность) потребителям в связи с превышением разрешенных отклонений значений параметров</t>
  </si>
  <si>
    <t>Доля числа исполненных в срок договоров о подключении</t>
  </si>
  <si>
    <t>%</t>
  </si>
  <si>
    <t>Указывается процент общего количества заключенных договоров о подключении (технологическом присоединении)._x000D_
Информация в данной строке не указывается теплоснабжающими организациями, теплосетевыми организациями в ценовых зонах теплоснабжения.</t>
  </si>
  <si>
    <t>Средняя продолжительность рассмотрения заявлений о подключении</t>
  </si>
  <si>
    <t>Гкал/час</t>
  </si>
  <si>
    <t>Информация в данной строке не указывается теплоснабжающими организациями, теплосетевыми организациями в ценовых зонах теплоснабжения.</t>
  </si>
  <si>
    <t>ед</t>
  </si>
  <si>
    <t>5.0</t>
  </si>
  <si>
    <t>система холодного водоснабжения</t>
  </si>
  <si>
    <t>Добавить систему</t>
  </si>
  <si>
    <t>Наименование выведенного источника тепловой энергии</t>
  </si>
  <si>
    <t>В случае вывода из эксплуатации нескольких источников тепловой энергии информация по каждому из них указывается в отдельно.</t>
  </si>
  <si>
    <t>Дата вывода</t>
  </si>
  <si>
    <t>Дата вывода указывается в виде «ДД.ММ.ГГГГ».</t>
  </si>
  <si>
    <t>Наименование тепловой сети</t>
  </si>
  <si>
    <t>В случае вывода из эксплуатации нескольких тепловых сетей информация по каждой из них указывается в отдельно.</t>
  </si>
  <si>
    <t>Описание ограничения подачи тепловой энергии потребителям</t>
  </si>
  <si>
    <t>Дата начала ограничения</t>
  </si>
  <si>
    <t>Дата начала ограничения указывается в виде «ДД.ММ.ГГГГ».</t>
  </si>
  <si>
    <t>Дата завершения ограничения</t>
  </si>
  <si>
    <t>Дата завершения ограничения указывается в виде «ДД.ММ.ГГГГ».</t>
  </si>
  <si>
    <t>Описание прекращения режима потребления</t>
  </si>
  <si>
    <t>В колонке «Ссылка на документ» указывается материал в виде ссылки на документ, обосновывающий прекращение подачи тепловой энергии потребителям, предварительно загруженный в хранилище данных ФГИС ЕИАС.</t>
  </si>
  <si>
    <t>Дата прекращения</t>
  </si>
  <si>
    <t>Дата прекращения указывается в виде «ДД.ММ.ГГГГ».</t>
  </si>
  <si>
    <t>Форма 13.1. Информация о выводе объектов теплоснабжения из эксплуатации и основаниях ограничения, прекращения подачи тепловой энергии потребителям</t>
  </si>
  <si>
    <t>1.0</t>
  </si>
  <si>
    <t>Сведения о выводе источников тепловой энергии из эксплуатации</t>
  </si>
  <si>
    <t>Сведения о выводе тепловых сетей из эксплуатации</t>
  </si>
  <si>
    <t>Добавить тепловую сеть</t>
  </si>
  <si>
    <t>3.0</t>
  </si>
  <si>
    <t>Сведения об основаниях ограничения подачи тепловой энергии</t>
  </si>
  <si>
    <t>Осуществлялось</t>
  </si>
  <si>
    <t>В случае, если ограничения подачи тепловой энергии тепловой энергии не происходили, в колонке «Информация» указывается «Не осуществлялось»._x000D_
Указывается информация о случаях ограничения подачи тепловой энергии потребителям в случаях, предусмотренных законодательством в сфере теплоснабжения._x000D_
В неоднократных ограничений подачи потребления тепловой энергии потребителями информация по каждому случаю указывается отдельно.</t>
  </si>
  <si>
    <t>Добавить ограничение подачи ТЭ</t>
  </si>
  <si>
    <t>4.0</t>
  </si>
  <si>
    <t>Сведения об основаниях прекращения подачи тепловой энергии потребителям</t>
  </si>
  <si>
    <t>В случае, если прекращения подачи тепловой энергии потребителям не происходили, в колонке «Информация» указывается «Не осуществлялось»._x000D_
Указывается информация о случаях прекращения подачи тепловой энергии потребителям, предусмотренных законодательством в сфере теплоснабжения._x000D_
В случае нескольких прекращений подачи тепловой энергии потребителям информация по каждому случаю указывается отдельно.</t>
  </si>
  <si>
    <t>Добавить прекращение подачи ТЭ</t>
  </si>
  <si>
    <t>Период действия тарифов</t>
  </si>
  <si>
    <t>по</t>
  </si>
  <si>
    <t>p1</t>
  </si>
  <si>
    <t>Долгосрочные параметры регулирования указываются в случае выбора любого метода регулирования за исключением метода экономически обоснованных затрат в виде ссылки на документ, предварительно загруженный в хранилище файлов ФГИС ЕИАС.</t>
  </si>
  <si>
    <t>Необходимая валовая выручка на соответствующий период, в том числе с разбивкой по годам</t>
  </si>
  <si>
    <t>p2</t>
  </si>
  <si>
    <t>Наименование централизованной системы холодного водоснабжения</t>
  </si>
  <si>
    <t>Указывается наименование централизованной системы холодного водоснабжения при наличии дифференциации тарифа по централизованным системам холодного водоснабжения._x000D_
В случае дифференциации тарифов по централизованным системам холодного водоснабжения информация по ним указывается в отдельных строках.</t>
  </si>
  <si>
    <t>Наименование признака дифференциации</t>
  </si>
  <si>
    <t>Указывается наименование дополнительного признака дифференциации (при наличии)._x000D_
Дифференциация тарифа осуществляется в соответствии с законодательством в сфере водоснабжения и водоотведения._x000D_
В случае дифференциации тарифов по дополнительным признакам информация по ним указывается в отдельных строках.</t>
  </si>
  <si>
    <t>Указывается группа потребителей при наличии дифференциации тарифа по группам потребителей._x000D_
Значение выбирается из перечня:_x000D_
  - Организации-перепродавцы;_x000D_
  - Бюджетные организации;_x000D_
  - Население;_x000D_
  - Прочие;_x000D_
  - Без дифференциации._x000D_
В случае дифференциации тарифов по группам потребителей информация по ним указывается в отдельных строках.</t>
  </si>
  <si>
    <t>Добавить значение признака дифференциации</t>
  </si>
  <si>
    <t>В случае наличия нескольких значений признака дифференциации тарифов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</si>
  <si>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наименование признака дифференциации</t>
  </si>
  <si>
    <t>Одноставочный тариф</t>
  </si>
  <si>
    <t>NUM_FLAG_DIFF</t>
  </si>
  <si>
    <t>NUM_DATA_DIFF</t>
  </si>
  <si>
    <t>Одноставочный тариф,_x000D_
руб./куб. м</t>
  </si>
  <si>
    <t>ставка платы за объем поданной воды,_x000D_
руб./куб. м</t>
  </si>
  <si>
    <t>ставка платы за содержание мощности,_x000D_
руб./куб. м в час</t>
  </si>
  <si>
    <t>pt_ist_te_9</t>
  </si>
  <si>
    <t>Для каждого вида тарифа в сфере холодного водоснабжения форма заполняется отдельно. При размещении информации по данной форме дополнительно указываются сведения: наименование органа регулирования тарифов, принявшего решение об установлении тарифа, реквизиты (дата и номер) решения об установлении тарифа, источник официального опубликования решения об установлении тарифа.</t>
  </si>
  <si>
    <t>Для каждого вида тарифа в сфере холодного водоснабжения форма заполняется отдельно. При размещении информации по данной форме дополнительно указывается дата подачи заявления об утверждении тарифа и его номер.</t>
  </si>
  <si>
    <t>pt_ist_te_10</t>
  </si>
  <si>
    <t>pt_ist_te_11</t>
  </si>
  <si>
    <t>pt_ist_te_12</t>
  </si>
  <si>
    <t>В колонке "Параметр дифференциации тарифа/Заявитель" указывается наименование категории потребителей/заявителя,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дифференциации по категориям потребителей/заявителям, подключаемой нагрузке, диапазону диаметров, протяженности, условиям прокладки водопроводной сети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</si>
  <si>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условия прокладки сетей</t>
  </si>
  <si>
    <t>Добавить протяженность водопроводной сети</t>
  </si>
  <si>
    <t>Добавить диапазон диаметров водопроводной сети</t>
  </si>
  <si>
    <t>Добавить подключаемую нагрузку</t>
  </si>
  <si>
    <t>DIAMETERS_2</t>
  </si>
  <si>
    <t>Параметр дифференциации тарифа/Заявитель/Наименование объекта/Адрес</t>
  </si>
  <si>
    <t>Подключаемая нагрузка водопроводной сети,_x000D_
куб. м/сут</t>
  </si>
  <si>
    <t>Диапазон диаметров водопроводной сети,_x000D_
мм</t>
  </si>
  <si>
    <t>Протяженность водопроводной сети,_x000D_
км</t>
  </si>
  <si>
    <t>Условия прокладки сетей</t>
  </si>
  <si>
    <t>Ставка тарифа за подключаемую нагрузку водопроводной сети,_x000D_
тыс. руб./куб. м в сутки</t>
  </si>
  <si>
    <t>Ставка тарифа за протяженность водопроводной сети диаметром d,_x000D_
тыс. руб./км</t>
  </si>
  <si>
    <t>Срок действия тарифов</t>
  </si>
  <si>
    <t>pt_ist_te_13</t>
  </si>
  <si>
    <t>При размещении информации по данной форме дополнительно указываются сведения: наименование органа регулирования тарифов, принявшего решение об утверждении установлении тарифа, реквизиты (дата и номер) решения документа об утверждении установлении тарифа, источник официального опубликования решения об установлении тарифа.</t>
  </si>
  <si>
    <t>При размещении информации по данной форме дополнительно указывается дата подачи заявления об утверждении тарифа и его номер.</t>
  </si>
  <si>
    <t>vt</t>
  </si>
  <si>
    <t>общая стоимость</t>
  </si>
  <si>
    <t>объём</t>
  </si>
  <si>
    <t>стоимость за единицу объёма</t>
  </si>
  <si>
    <t>тыс. руб.</t>
  </si>
  <si>
    <t>стоимость доставки</t>
  </si>
  <si>
    <t>способ приобретения</t>
  </si>
  <si>
    <t>кг у. т./Гкал</t>
  </si>
  <si>
    <t>кг усл. топл./Гкал</t>
  </si>
  <si>
    <t>p</t>
  </si>
  <si>
    <t>HEAT_P1</t>
  </si>
  <si>
    <t>Добавить вид топлива</t>
  </si>
  <si>
    <t>HOTVSNA_P1</t>
  </si>
  <si>
    <t>тыс. кВт·ч</t>
  </si>
  <si>
    <t>HEAT_P6</t>
  </si>
  <si>
    <t>NOT_HOTVSNA</t>
  </si>
  <si>
    <t>NOT_HEAT_P1</t>
  </si>
  <si>
    <t>Добавить прочие расходы</t>
  </si>
  <si>
    <t>HEAT_P2</t>
  </si>
  <si>
    <t>NOT_HEAT_P2</t>
  </si>
  <si>
    <t>COLDVSNA_P1</t>
  </si>
  <si>
    <t>тыс. куб. м</t>
  </si>
  <si>
    <t>HOTVSNA_P2</t>
  </si>
  <si>
    <t>VOTV_P1</t>
  </si>
  <si>
    <t>HEAT_P3</t>
  </si>
  <si>
    <t>hyp</t>
  </si>
  <si>
    <t>тыс. Гкал/год</t>
  </si>
  <si>
    <t>человек</t>
  </si>
  <si>
    <t>HEAT_P4</t>
  </si>
  <si>
    <t>VSNA</t>
  </si>
  <si>
    <t>тыс. кВт·ч на тыс. куб. м</t>
  </si>
  <si>
    <t>COLDVSNA_P2</t>
  </si>
  <si>
    <t>Добавить производственный объект</t>
  </si>
  <si>
    <t>HEAT_P5</t>
  </si>
  <si>
    <t>тыс. кВт.ч/Гкал</t>
  </si>
  <si>
    <t>куб.м/Гкал</t>
  </si>
  <si>
    <t>Способ приобретения</t>
  </si>
  <si>
    <t>Реквизиты договора</t>
  </si>
  <si>
    <t>Наименование товара/услуги</t>
  </si>
  <si>
    <t>Объем приобретенных товаров, услуг</t>
  </si>
  <si>
    <t>Единица измерения объема</t>
  </si>
  <si>
    <t>Стоимость, тыс. руб.</t>
  </si>
  <si>
    <t>Доля расходов, % (от суммы расходов по указанной статье)</t>
  </si>
  <si>
    <t>Форма 6. Информация об основных показателях финансово-хозяйственной деятельности организации _x000D_
в части регулируемых видов деятельности за отчетный год</t>
  </si>
  <si>
    <t>Выручка от регулируемого вида деятельности</t>
  </si>
  <si>
    <t>p3</t>
  </si>
  <si>
    <t>Себестоимость оказываемых услуг по обращению с твёрдыми коммунальными отходами по регулируемому виду деятельности, включая:</t>
  </si>
  <si>
    <t>производственные расходы, в том числе:</t>
  </si>
  <si>
    <t>расходы на оплату труда основного производственного персонала</t>
  </si>
  <si>
    <t>2.1.2</t>
  </si>
  <si>
    <t>страховые взносы на обязательное социальное страхование, выплачиваемые из фонда оплаты труда основного производственного персонала</t>
  </si>
  <si>
    <t>ремонтные расходы, включая:</t>
  </si>
  <si>
    <t>расходы на текущий ремонт</t>
  </si>
  <si>
    <t>расходы на капитальный ремонт</t>
  </si>
  <si>
    <t>административные расходы, в том числе:</t>
  </si>
  <si>
    <t>расходы на оплату труда</t>
  </si>
  <si>
    <t xml:space="preserve">страховые взносы на обязательное социальное страхование, выплачиваемые из фонда оплаты труда административно-управленческого персонала </t>
  </si>
  <si>
    <t>расходы на амортизацию основных средств и нематериальных активов:</t>
  </si>
  <si>
    <t>расходы на амортизацию основных средств</t>
  </si>
  <si>
    <t>расходы на амортизацию нематериальных активов</t>
  </si>
  <si>
    <t>расходы на арендную плату</t>
  </si>
  <si>
    <t>расходы на лизинговые платежи</t>
  </si>
  <si>
    <t xml:space="preserve"> расходы на концессионную плату</t>
  </si>
  <si>
    <t>прочие расходы, которые подлежат отнесению на регулируемые виды деятельности, в том числе:</t>
  </si>
  <si>
    <t>расходы на транспортирование твёрдых коммунальных отходов</t>
  </si>
  <si>
    <t>Чистая прибыль с разбивкой по регулируемым видам деятельности, в том числе:</t>
  </si>
  <si>
    <t>размер расходования чистой прибыли на финансирование мероприятий, предусмотренных инвестиционной программой</t>
  </si>
  <si>
    <t>изменение стоимости основных фондов за счет их ввода в эксплуатацию (вывода из эксплуатации)</t>
  </si>
  <si>
    <t>изменение стоимости основных фондов за счет их ввода в эксплуатацию</t>
  </si>
  <si>
    <t>изменение стоимости основных фондов за счет их вывода в эксплуатацию</t>
  </si>
  <si>
    <t>4.1.3</t>
  </si>
  <si>
    <t>изменение стоимости основных фондов за счет их переоценки</t>
  </si>
  <si>
    <t>-</t>
  </si>
  <si>
    <t>Объём принятых твёрдых коммунальных отходов</t>
  </si>
  <si>
    <t>тыс. куб. м_x000D_
в год</t>
  </si>
  <si>
    <t>Масса принятых твёрдых коммунальных отходов</t>
  </si>
  <si>
    <t>тонн в год</t>
  </si>
  <si>
    <t>Среднесписочная численность основного персонала</t>
  </si>
  <si>
    <t>Форма 7. Информация об основных показателях финансово-хозяйственной деятельности организации в отношении деятельности по транспортированию твёрдых коммунальных отходов за отчетный год &lt;1&gt;</t>
  </si>
  <si>
    <t>Выручка от деятельности</t>
  </si>
  <si>
    <t>Себестоимость оказываемых услуг по регулируемому виду деятельности, включая:</t>
  </si>
  <si>
    <t>расходы на оплату труда и страховые взносы на обязательное социальное страхование, выплачиваемые из фонда оплаты труда</t>
  </si>
  <si>
    <t xml:space="preserve">расходы на оплату труда </t>
  </si>
  <si>
    <t xml:space="preserve">страховые взносы на обязательное социальное страхование, выплачиваемые из фонда оплаты труда </t>
  </si>
  <si>
    <t>расходы на топливо и горюче-смазочные материалы для транспортных средств, используемых для транспортирования твёрдых коммунальных отходов</t>
  </si>
  <si>
    <t>расходы на сырье и материалы для текущего технического обслуживания транспортных средств, используемых для транспортирования твёрдых коммунальных отходов</t>
  </si>
  <si>
    <t>ремонтные расходы и расходы на техническое обслуживание в отношении транспортных средств, используемых для транспортирования твёрдых коммунальных отходов (за исключением расходов, указанных в пункте 2.3 данной формы)</t>
  </si>
  <si>
    <t>расходы на амортизацию транспортных средств, используемых для транспортирования твёрдых коммунальных отходов</t>
  </si>
  <si>
    <t>расходы на арендную плату и лизинговые платежи в отношении транспортных средств, используемых для транспортирования твёрдых коммунальных отходов</t>
  </si>
  <si>
    <t>административные расходы (за исключением расходов, предусмотренных пунктами 2.1 и 2.8 данной формы)</t>
  </si>
  <si>
    <t>расходы, связанные с оплатой налогов, сборов и других обязательных платежей (в том числе с обязательным страхованием гражданской ответственности владельцев транспортных средств, оснащением и обеспечением функционирования аппаратуры спутниковой навигации ГЛОНАСС или ГЛОНАСС/GPS)</t>
  </si>
  <si>
    <t>прочие расходы</t>
  </si>
  <si>
    <t>Чистая прибыль в отношении деятельности по транспортированию твёрдых коммунальных отходов</t>
  </si>
  <si>
    <t>Изменение стоимости основных фондов (транспортных средств, используемых для транспортирования твёрдых коммунальных отходов), в том числе:</t>
  </si>
  <si>
    <t>изменение стоимости основных фондов за счет их вывода из эксплуатации</t>
  </si>
  <si>
    <t>Объём принятых для транспортирования твёрдых коммунальных отходов</t>
  </si>
  <si>
    <t>Масса принятых для транспортирования твёрдых коммунальных отходов</t>
  </si>
  <si>
    <t>В 2023 году операторы по обращению с твёрдыми коммунальными отходами, осуществляющие деятельность по транспортированию твёрдых коммунальных отходов, раскрывают в данной форме информацию, сформированную на дату раскрытия информации.</t>
  </si>
  <si>
    <t>В случае, если оператор по обращению с твёрдыми коммунальными отходами, осуществляющий деятельность по транспортированию твёрдых коммунальных отходов, обеспечивает транспортирование твёрдых коммунальных отходов в разных зонах деятельности регионального оператора, на разных территориях в пределах одной зоны деятельности регионального оператора, то информация раскрывается по каждой зоне деятельности регионального оператора, по каждой территории в пределах зоны деятельности регионального оператора.</t>
  </si>
  <si>
    <t>Информация, подлежащая раскрытию</t>
  </si>
  <si>
    <t>Информация в данной строке раскрывается только единой теплоснабжающей организацией в ценовых зонах теплоснабжения (обобщенная информация о количестве составленных актов, подтверждающих факт превышения разрешенных отклонений значений параметров, о средней продолжительности устранения превышения разрешенных отклонений значений параметров, о совокупной величине снижения размера платы за тепловую энергию (мощность) потребителям в связи с превышением разрешенных отклонений значений параметров)</t>
  </si>
  <si>
    <t>Показатели надежности и энергетической эффективности, установленные в соответствии с законодательством Российской Федерации</t>
  </si>
  <si>
    <t>В колонке «Ссылка на документ» указывается материал в виде ссылки на документ, содержащий информацию об установленных показателях, предварительно загруженный в хранилище данных ФГИС ЕИАС._x000D_
В случае, если показатели не утверждены в колонке «Информация» указывается «Не утверждены»._x000D_
Информация в данной строке не раскрывается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t>
  </si>
  <si>
    <t>Плановые показатели надежности объектов теплоснабжения</t>
  </si>
  <si>
    <t>количество прекращений подачи тепловой энергии, теплоносителя в результате технологических нарушений на тепловых сетях на 1 км тепловых сетей</t>
  </si>
  <si>
    <t>ед.в год/км</t>
  </si>
  <si>
    <t>количество прекращений подачи тепловой энергии, теплоносителя в результате технологических нарушений на источниках тепловой энергии на 1 Гкал/час установленной мощности</t>
  </si>
  <si>
    <t xml:space="preserve"> ед.в год/Гкал/час</t>
  </si>
  <si>
    <t xml:space="preserve">Плановые показатели энергетической эффективности объектов теплоснабжения </t>
  </si>
  <si>
    <t>4.2.1</t>
  </si>
  <si>
    <t>удельный расход топлива на производство единицы тепловой энергии, отпускаемой с коллекторов источников тепловой энергии</t>
  </si>
  <si>
    <t>т.у.т./Гкал</t>
  </si>
  <si>
    <t>4.2.2</t>
  </si>
  <si>
    <t>отношение величины технологических потерь к материальной характеристике тепловой сети</t>
  </si>
  <si>
    <t>4.2.1.1</t>
  </si>
  <si>
    <t>при передаче тепловой энергии</t>
  </si>
  <si>
    <t>Гкал/кв.м</t>
  </si>
  <si>
    <t>4.2.1.2</t>
  </si>
  <si>
    <t>при передаче теплоносителя</t>
  </si>
  <si>
    <t>тонн/кв.м</t>
  </si>
  <si>
    <t>4.2.3</t>
  </si>
  <si>
    <t>величина технологических потерь</t>
  </si>
  <si>
    <t>4.2.3.1</t>
  </si>
  <si>
    <t>Гкал/год</t>
  </si>
  <si>
    <t>4.2.3.2</t>
  </si>
  <si>
    <t>при передаче теплоносителя по тепловым сетям</t>
  </si>
  <si>
    <t>тонн/год</t>
  </si>
  <si>
    <t>Доля исполненных в срок договоров о подключении (технологическом присоединении) к системе теплоснабжения</t>
  </si>
  <si>
    <t>Указывается процент от общего количества заключенных договоров о подключении (технологическом присоединении) к системе теплоснабжения._x000D_
_x000D_
Единой теплоснабжающей организацией указывается доля числа исполненных в срок договоров о подключении (технологическом присоединении) к системе теплоснабжения в зоне ее деятельности в ценовых зонах теплоснабжения (процентов общего количества заключенных договоров о подключении (технологическом присоединении) к системе теплоснабжения._x000D_
Информация в данной строке не раскрывается теплоснабжающей организацией в ценовых зонах теплоснабжения и теплосетевой организацией в ценовых зонах теплоснабжения</t>
  </si>
  <si>
    <t>Средняя продолжительность рассмотрения заявок на заключение договоров о подключении (технологическом присоединении) к системе теплоснабжения</t>
  </si>
  <si>
    <t>Единой теплоснабжающей организацией информация раскрывается в зоне ее деятельности в ценовых зонах теплоснабжения_x000D_
Информация в данной строке не раскрывается теплоснабжающей организацией в ценовых зонах теплоснабжения и теплосетевой организацией в ценовых зонах теплоснабжения.</t>
  </si>
  <si>
    <t xml:space="preserve">Едиными теплоснабжающими организациями, теплоснабжающими и теплосетевыми организациями в ценовых зонах теплоснабжения указывается информация об основных потребительских </t>
  </si>
  <si>
    <t>характеристиках товаров и услуг, поставляемых и оказываемых этими организациями в ценовых зонах теплоснабжения.</t>
  </si>
  <si>
    <t>Количество аварий на системах холодного водоснабжения</t>
  </si>
  <si>
    <t>Указывается количество любых нарушений функционирования системы холодного водоснабжения в расчете на один километр трубопровода.</t>
  </si>
  <si>
    <t>Количество случаев временного ограничения холодного водоснабжения по графику</t>
  </si>
  <si>
    <t>количество случаев ограничения холодного водоснабжения по графику для ограничений сроком менее 24 часов в сутки</t>
  </si>
  <si>
    <t>ед.</t>
  </si>
  <si>
    <t>Указывается суммарное количество ограничения холодного водоснабжения по графику в течение отчетного периода. В расчет принимаются ограничения сроком менее 24 часов каждое.</t>
  </si>
  <si>
    <t>срок действия ограничений холодного водоснабжения по графику для ограничений сроком менее 24 часов в сутки</t>
  </si>
  <si>
    <t>ч</t>
  </si>
  <si>
    <t>Указывается сумма времени ограничения холодного водоснабжения по графику в течение отчетного периода. В расчет принимаются ограничения сроком менее 24 часов каждое.</t>
  </si>
  <si>
    <t>Доля потребителей, в отношении которых ограничено холодное водоснабжение:</t>
  </si>
  <si>
    <t>доля потребителей, в отношении которых ограничено холодное водоснабжение сроком менее 24 часов в сутки</t>
  </si>
  <si>
    <t>Указывается отношение количества потребителей, затронутых как минимум одним ограничением подачи холодной воды по графику длительностью менее 24 часа в течение отчетного периода, и суммарного количества обслуживаемых потребителей.</t>
  </si>
  <si>
    <t>доля потребителей, в отношении которых ограничено холодное водоснабжение сроком 24 часа в сутки и более</t>
  </si>
  <si>
    <t>Указывается отношение количества потребителей, затронутых как минимум одним ограничением подачи холодной воды по графику длительностью 24 часа и более в течение отчетного периода, и суммарного количества обслуживаемых потребителей.</t>
  </si>
  <si>
    <t>Общее количество отобранных проб питьевой воды по следующим показателям</t>
  </si>
  <si>
    <t>мутность</t>
  </si>
  <si>
    <t>цветность</t>
  </si>
  <si>
    <t>хлор остаточный общий, в том числе:</t>
  </si>
  <si>
    <t>4.3.1</t>
  </si>
  <si>
    <t>хлор остаточный связанный</t>
  </si>
  <si>
    <t>4.3.2</t>
  </si>
  <si>
    <t>хлор остаточный свободный</t>
  </si>
  <si>
    <t>4.4</t>
  </si>
  <si>
    <t>общие колиформные бактерии</t>
  </si>
  <si>
    <t>4.5</t>
  </si>
  <si>
    <t>термотолерантные колиформные бактерии</t>
  </si>
  <si>
    <t>Количество отобранных проб питьевой воды, показатели которых не соответствуют нормативам качества питьевой воды в соответствии с санитарно-эпидемиологическими требованиями к питьевой воде (предельно допустимой концентрации в воде) по следующим показателям:</t>
  </si>
  <si>
    <t>5.3.2</t>
  </si>
  <si>
    <t>5.5</t>
  </si>
  <si>
    <t>Доля исполненных в срок договоров о подключении (технологическом присоединении) к централизованной системе холодного водоснабжения</t>
  </si>
  <si>
    <t>Указывается процент общего количества заключенных договоров о подключении (технологическом присоединении) к централизованной системе холодного водоснабжения.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</si>
  <si>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холодного водоснабжения</t>
  </si>
  <si>
    <t>О результатах технического обследования централизованных систем холодного водоснабжения, в том числе:</t>
  </si>
  <si>
    <t>8.1</t>
  </si>
  <si>
    <t>о фактических значениях показателей технико-экономического состояния централизованных систем холодного водоснабжения, включая значения показателей физического износа и энергетической эффективности объектов централизованных систем холодного водоснабжения.</t>
  </si>
  <si>
    <t>Количество аварий на системах горячего водоснабжения</t>
  </si>
  <si>
    <t>Указывается количество нарушений функционирования системы горячего водоснабжения в расчете на один километр трубопровода.</t>
  </si>
  <si>
    <t>Количество часов (суммарно за календарный год), превышающих установленную продолжительность временного прекращения или ограничения горячего водоснабжения, и доля потребителей (процентов), в отношении которых было осуществлено временное прекращение или ограничение горячего водоснабжения</t>
  </si>
  <si>
    <t>количество часов (суммарно за календарный год), превышающих установленную продолжительность временного прекращения горячего водоснабжения</t>
  </si>
  <si>
    <t>количество часов (суммарно за календарный год), превышающих установленную продолжительность ограничения горячего водоснабжения</t>
  </si>
  <si>
    <t>доля потребителей, в отношении которых было осуществлено временное прекращение горячего водоснабжения</t>
  </si>
  <si>
    <t>доля потребителей, в отношении которых было осуществлено ограничение горячего водоснабжения</t>
  </si>
  <si>
    <t>Количество часов (суммарно за календарный год) отклонения показателей температуры подачи горячей воды от нормативных значений в точке разбора</t>
  </si>
  <si>
    <t>Доля исполненных в срок договоров о подключении (технологическом присоединении) к централизованной системе горячего водоснабжения (процентов общего количества заключенных договоров о подключении (технологическом присоединении) к централизованной системе горячего водоснабжения)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</si>
  <si>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горячего водоснабжения</t>
  </si>
  <si>
    <t>О результатах технического обследования централизованных систем горячего водоснабжения, в том числе:</t>
  </si>
  <si>
    <t>о фактических значениях показателей технико-экономического состояния централизованных систем горячего водоснабжения, включая значения показателей физического износа и энергетической эффективности объектов централизованных систем горячего водоснабжения</t>
  </si>
  <si>
    <t>Показатели аварийности на канализационных сетях</t>
  </si>
  <si>
    <t>Указывается количество любых нарушений на канализационных сетях.</t>
  </si>
  <si>
    <t>Количество засоров на самотечных сетях</t>
  </si>
  <si>
    <t>Указывается количество засоров на самотечных сетях.</t>
  </si>
  <si>
    <t>Общее количество отобранных проб на сбросе очищенных (частично очищенных) сточных вод:</t>
  </si>
  <si>
    <t>Указывается суммарное количество проведенных проб на сбросе очищенных вод.</t>
  </si>
  <si>
    <t>взвешенные вещества</t>
  </si>
  <si>
    <t>БПК5</t>
  </si>
  <si>
    <t>аммоний-ион</t>
  </si>
  <si>
    <t>нитрит-анион</t>
  </si>
  <si>
    <t>3.5</t>
  </si>
  <si>
    <t>фосфаты (по Р)</t>
  </si>
  <si>
    <t>3.6</t>
  </si>
  <si>
    <t>нефтепродукты</t>
  </si>
  <si>
    <t>3.7</t>
  </si>
  <si>
    <t>микробиология</t>
  </si>
  <si>
    <t>Количество отобранных проб, показатели которых не соответствуют установленным нормативам состава сточных вод (предельно допустимой концентрации веществ и микроорганизмов) на сбросе очищенных (частично очищенных) сточных вод:</t>
  </si>
  <si>
    <t>Указывается суммарное количество отобранных проб, выявивших несоответствие очищенных сточных вод санитарным нормам (предельно допустимой концентрации) на сбросе очищенных (частично очищенных) сточных вод.</t>
  </si>
  <si>
    <t>4.6</t>
  </si>
  <si>
    <t>4.7</t>
  </si>
  <si>
    <t>Доля исполненных в срок договоров о подключении (технологическом присоединении) к централизованной системе водоотведения</t>
  </si>
  <si>
    <t>Указывается процент от общего количества заключенных договоров о подключении (технологическом присоединении) к централизованной системе водоотведения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</si>
  <si>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водоотведения</t>
  </si>
  <si>
    <t>О результатах технического обследования централизованных систем водоотведения, в том числе:</t>
  </si>
  <si>
    <t>7.1</t>
  </si>
  <si>
    <t>о фактических значениях показателей технико-экономического состояния централизованных систем водоотведения, включая значения показателей физического износа и энергетической эффективности объектов централизованных систем водоотведения</t>
  </si>
  <si>
    <t>О  нормативах допустимых сбросов загрязняющих веществ в составе сточных вод в водные объекты, установленных для объектов централизованных систем водоотведения, эксплуатируемых организацией водоотведения, в соответствии с законодательством Российской Федерации об охране окружающей среды (о лимитах на сбросы загрязняющих веществ, установленных для объектов централизованных систем водоотведения, эксплуатируемых организацией водоотведения, в соответствии с законодательством Российской Федерации об охране окружающей среды</t>
  </si>
  <si>
    <t>О показателях эффективности удаления загрязняющих веществ очистными сооружениями регулируемых организаций</t>
  </si>
  <si>
    <t>Информация об инвестиционных программах регулируемой организации и отчетах об их исполнении</t>
  </si>
  <si>
    <t>Наименование ИП</t>
  </si>
  <si>
    <t>Инвестиционная программа разбивается по мероприятиям и (или) группам мероприятий</t>
  </si>
  <si>
    <t>Дата утверждения инвестиционной программы</t>
  </si>
  <si>
    <t>Дата изменения инвестиционной программы</t>
  </si>
  <si>
    <t>Цель инвестиционной программы</t>
  </si>
  <si>
    <t>Наименование исполнительного органа субъекта Российской Федерации (органа местного самоуправления), утвердившего инвестиционную программу</t>
  </si>
  <si>
    <t>Наименование органа местного самоуправления, согласовавшего инвестиционную программу</t>
  </si>
  <si>
    <t>Период реализации инвестиционной программы</t>
  </si>
  <si>
    <t>Решение уполномоченного органа об утверждении инвестиционной программы</t>
  </si>
  <si>
    <t>Решение уполномоченного органа о внесении изменений, корректировке инвестиционной программы</t>
  </si>
  <si>
    <t>О наличии в инвестиционной программе мероприятий, включенных в концессионное(-ые) соглашение(-я)</t>
  </si>
  <si>
    <t>Дата начала</t>
  </si>
  <si>
    <t>Дата окончания</t>
  </si>
  <si>
    <t>Период реализации</t>
  </si>
  <si>
    <t>Вид</t>
  </si>
  <si>
    <t>Номер</t>
  </si>
  <si>
    <t>Дата принятия</t>
  </si>
  <si>
    <t>Тип</t>
  </si>
  <si>
    <t>Наличие</t>
  </si>
  <si>
    <t>Реквизиты концессионного(-ых) соглашения(-ий)</t>
  </si>
  <si>
    <t>ip_1</t>
  </si>
  <si>
    <t>Добавить инвестиционную программу</t>
  </si>
  <si>
    <t>Год реализации инвестиционной программы</t>
  </si>
  <si>
    <t>№ п/п_x000D_
мероприятия</t>
  </si>
  <si>
    <t>Группа, к которой относятся мероприятия инвестиционной программы</t>
  </si>
  <si>
    <t>Мероприятие</t>
  </si>
  <si>
    <t>№ источника</t>
  </si>
  <si>
    <t>О плановых и фактических размерах и источниках финансирования предусмотренных в утвержденной инвестиционной программе с распределением по годам</t>
  </si>
  <si>
    <t>Плановый срок реализации мероприятия и (или) группы мероприятий с распределением по годам</t>
  </si>
  <si>
    <t>Плановый срок ввода в эксплуатацию/выполнения мероприятия и (или) группы мероприятий</t>
  </si>
  <si>
    <t>Фактический срок реализации мероприятия и (или) группы мероприятий с распределением по годам</t>
  </si>
  <si>
    <t>Фактический срок ввода в эксплуатацию/выполнения мероприятия и (или) группы мероприятий</t>
  </si>
  <si>
    <t>Наименование мероприятия</t>
  </si>
  <si>
    <t>Входит в концессионное соглашение</t>
  </si>
  <si>
    <t>Объект инфраструктуры</t>
  </si>
  <si>
    <t>Признак</t>
  </si>
  <si>
    <t>Номер концессионного соглашения</t>
  </si>
  <si>
    <t>№ объекта</t>
  </si>
  <si>
    <t>Наименование объекта</t>
  </si>
  <si>
    <t>Тип объекта</t>
  </si>
  <si>
    <t>Адрес объекта</t>
  </si>
  <si>
    <t>План</t>
  </si>
  <si>
    <t>Факт</t>
  </si>
  <si>
    <t>в том числе</t>
  </si>
  <si>
    <t>Населенный пункт</t>
  </si>
  <si>
    <t>улица, проезд, проспект, переулок, и т.п.</t>
  </si>
  <si>
    <t>дом, корпус, строение</t>
  </si>
  <si>
    <t>Источник финансирования</t>
  </si>
  <si>
    <t>Размер финансирования</t>
  </si>
  <si>
    <t>месяц</t>
  </si>
  <si>
    <t>год</t>
  </si>
  <si>
    <r>
      <rPr>
        <vertAlign val="superscript"/>
        <sz val="9"/>
        <rFont val="Tahoma"/>
        <family val="2"/>
        <charset val="204"/>
      </rPr>
      <t>1</t>
    </r>
    <r>
      <rPr>
        <sz val="9"/>
        <rFont val="Tahoma"/>
        <family val="2"/>
        <charset val="204"/>
      </rPr>
      <t xml:space="preserve"> В соответствии с утвержденной инвестиционной программой</t>
    </r>
  </si>
  <si>
    <t>Финансовый план</t>
  </si>
  <si>
    <t>Источники финансирования</t>
  </si>
  <si>
    <t>Объем фактического выполнения за счет источников финансирования (тыс. руб. без НДС)</t>
  </si>
  <si>
    <t>Всего</t>
  </si>
  <si>
    <t>Расходы на мероприятия инвестиционной программы</t>
  </si>
  <si>
    <t>Собственные средства</t>
  </si>
  <si>
    <t>1.4</t>
  </si>
  <si>
    <t>1.5</t>
  </si>
  <si>
    <t>1.6</t>
  </si>
  <si>
    <t>1.7</t>
  </si>
  <si>
    <t>1.8</t>
  </si>
  <si>
    <t>1.9</t>
  </si>
  <si>
    <t>1.10</t>
  </si>
  <si>
    <t>1.11</t>
  </si>
  <si>
    <t>1.12</t>
  </si>
  <si>
    <t>Привлеченные средства</t>
  </si>
  <si>
    <t>Займы</t>
  </si>
  <si>
    <t>Бюджетное финансирование</t>
  </si>
  <si>
    <t>Плата концедента на строительство, модернизацию и (или) реконструкцию объекта концессионного соглашения в размере, предусмотренном заключенным концессионным соглашением</t>
  </si>
  <si>
    <t>Иные бюджетные средства.</t>
  </si>
  <si>
    <t>Прочие источники финансирования</t>
  </si>
  <si>
    <t>ИТОГО по программе</t>
  </si>
  <si>
    <t>Средства на возврат займов и кредитов, привлекаемых на реализацию мероприятий инвестиционной программы, а также на проценты по таким займам и кредитам*</t>
  </si>
  <si>
    <t>Cредства на возврат займов и кредитов, привлекаемых на реализацию мероприятий инвестиционной программ</t>
  </si>
  <si>
    <t>Финансируемые за счет нормативной прибыли, учитываемой в необходимой валовой выручке</t>
  </si>
  <si>
    <t>1.1.2</t>
  </si>
  <si>
    <t>1.1.3</t>
  </si>
  <si>
    <t>Иные собственные средства</t>
  </si>
  <si>
    <t>1.1.4</t>
  </si>
  <si>
    <t>Средства, полученные регулируемой организацией в виде платы за негативное воздействие абонентов на работу централизованной системы водоотведения</t>
  </si>
  <si>
    <t>1.2.2</t>
  </si>
  <si>
    <t xml:space="preserve">Прочие источники </t>
  </si>
  <si>
    <t>Cредства на проценты по займам и кредитам, привлекаемым на реализацию мероприятий инвестиционной программ</t>
  </si>
  <si>
    <t>2.1.3</t>
  </si>
  <si>
    <t>2.1.4</t>
  </si>
  <si>
    <t>WARM FEATURES</t>
  </si>
  <si>
    <t>OTKO FEATURES</t>
  </si>
  <si>
    <t>Цель(-и) ИП</t>
  </si>
  <si>
    <t>Способ утверждения показателей</t>
  </si>
  <si>
    <t>Описание способа утверждения показателей</t>
  </si>
  <si>
    <t>Показатели качества, надежности и бесперебойности, энергетической эффективности</t>
  </si>
  <si>
    <t>Показатели надежности</t>
  </si>
  <si>
    <t xml:space="preserve">Показатели энергетической эффективности </t>
  </si>
  <si>
    <t>Показатели качества питьевой воды</t>
  </si>
  <si>
    <t>Показатели качества горячей воды</t>
  </si>
  <si>
    <t>Показатели надежности и бесперебойности</t>
  </si>
  <si>
    <t>Показатели энергетической эффективности</t>
  </si>
  <si>
    <t>Показатели очистки сточных вод</t>
  </si>
  <si>
    <t>Показатель надежности и бесперебойности</t>
  </si>
  <si>
    <t>Количество прекращений подачи тепловой энергии, теплоносителя в результате технологических нарушений</t>
  </si>
  <si>
    <t>удельный расход топлива на производство единицы тепловой энергии</t>
  </si>
  <si>
    <t>Отношение величины технологических потерь к материальной характеристике тепловой сети</t>
  </si>
  <si>
    <t>Величина технологических потерь</t>
  </si>
  <si>
    <t>Доля проб питьевой воды, подаваемой с источников водоснабжения, водопроводных станций или иных объектов централизованной системы водоснабжения в распределительную водопроводную сеть, не соответствующих установленным требованиям, в общем объёме проб, отобранных по результатам производственного контроля качества питьевой воды</t>
  </si>
  <si>
    <t>Доля проб питьевой воды в распределительной водопроводной сети, не соответствующих установленным требованиям, в общем объёме проб, отобранных по результатам производственного контроля качества питьевой воды</t>
  </si>
  <si>
    <t>Доля проб горячей воды в тепловой сети или в сети горячего водоснабжения, не соответствующих установленным требованиям по температуре, в общем объёме проб, отобранных по результатам производственного контроля качества горячей воды</t>
  </si>
  <si>
    <t>Доля проб горячей воды в тепловой сети или в сети горячего водоснабжения, не соответствующих установленным требованиям (за исключением температуры), в общем объёме проб, отобранных по результатам производственного контроля качества горячей воды</t>
  </si>
  <si>
    <t xml:space="preserve"> Количество перерывов в подаче воды, зафиксированных в местах исполнения обязательств организацией, осуществляющей горячее водоснабжение, холодное водоснабжение, по подаче горячей воды, холодной воды, возникших в результате аварий, повреждений и иных технологических нарушений на объектах централизованной системы холодного водоснабжения, горячего водоснабжения, принадлежащих организации, осуществляющей горячее водоснабжение, холодное водоснабжение, в расчете на протяженность водопроводной сети</t>
  </si>
  <si>
    <t>Доля потерь воды в централизованных системах водоснабжения при транспортировке в общем объёме воды, поданной в водопроводную сеть</t>
  </si>
  <si>
    <t>Удельное количество тепловой энергии, расходуемое на подогрев горячей воды</t>
  </si>
  <si>
    <t>Удельный расход электрической энергии, потребляемой в технологическом процессе</t>
  </si>
  <si>
    <t>доля сточных вод, не подвергающихся очистке, в общем объёме сточных вод, сбрасываемых в централизованные общесплавные или бытовые системы водоотведения</t>
  </si>
  <si>
    <t xml:space="preserve"> доля поверхностных сточных вод, не подвергающихся очистке, в общем объёме поверхностных сточных вод, принимаемых в централизованную ливневую систему водоотведения</t>
  </si>
  <si>
    <t>доля проб сточных вод, не соответствующих установленным нормативам допустимых сбросов, лимитам на сбросы, рассчитанная применительно к видам централизованных систем водоотведения раздельно для централизованной общесплавной (бытовой) и централизованной ливневой систем водоотведения</t>
  </si>
  <si>
    <t>Удельное количество аварий и засоров в расчете на протяженность канализационной сети</t>
  </si>
  <si>
    <t>Удельный расход электрической энергии, потребляемой в технологическом процессе для:</t>
  </si>
  <si>
    <t>на тепловых сетях на 1 км тепловых сетей</t>
  </si>
  <si>
    <t>на источниках тепловой энергии на 1 Гкал/час установленной мощности</t>
  </si>
  <si>
    <t xml:space="preserve">подготовки питьевой воды, на единицу объёма воды, отпускаемой в сеть_x000D_
</t>
  </si>
  <si>
    <t xml:space="preserve">транспортировки питьевой воды, на единицу объёма транспортируемой воды_x000D_
</t>
  </si>
  <si>
    <t>очистки сточных вод, на единицу объёма очищаемых сточных вод</t>
  </si>
  <si>
    <t>транспортировки сточных вод, на единицу объёма транспортируемых сточных вод</t>
  </si>
  <si>
    <t>ед. в год/км</t>
  </si>
  <si>
    <t>Гкал/куб. м</t>
  </si>
  <si>
    <t>кВт*ч/куб. м</t>
  </si>
  <si>
    <t>кВт*ч/куб.м</t>
  </si>
  <si>
    <t>план</t>
  </si>
  <si>
    <t>факт</t>
  </si>
  <si>
    <t>Наименование централизованной системы горячего водоснабжения</t>
  </si>
  <si>
    <t>Указывается наименование централизованной системы горячего водоснабжения при наличии дифференциации тарифа по централизованным системам горячего водоснабжения._x000D_
В случае дифференциации тарифов по централизованным системам горячего водоснабжения информация по ним указывается в отдельных строках.</t>
  </si>
  <si>
    <t xml:space="preserve">Однокомпонентный тариф </t>
  </si>
  <si>
    <t>Двухкомпонентный тариф</t>
  </si>
  <si>
    <t>Однокомпонентный тариф,_x000D_
руб./куб. м</t>
  </si>
  <si>
    <t>значение компонента на тепловую энергию при установленном одноставочном тарифе,_x000D_
руб./Гкал</t>
  </si>
  <si>
    <t>значение компонента на тепловую энергию при установленном двухставочном тарифе на тепловую энергию (мощность),_x000D_
руб./Гкал</t>
  </si>
  <si>
    <t>pt_ist_te_14</t>
  </si>
  <si>
    <t>Для каждого вида тарифа в сфере горячего водоснабжения форма заполняется отдельно. При размещении информации по данной форме дополнительно указываются сведения: наименование органа регулирования тарифов, принявшего решение об установлении тарифа, реквизиты (дата и номер) решения об установлении тарифа, источник официального опубликования решения об установлении тарифа.</t>
  </si>
  <si>
    <t>Для каждого вида тарифа в сфере горячего водоснабжения форма заполняется отдельно. При размещении информации по данной форме дополнительно указывается дата подачи заявления об утверждении тарифа и его номер.</t>
  </si>
  <si>
    <t>pt_ist_te_16</t>
  </si>
  <si>
    <t>Наименование централизованной системы водоотведения</t>
  </si>
  <si>
    <t>Указывается наименование централизованной системы водоотведения при наличии дифференциации тарифа по централизованным системам водоотведения._x000D_
В случае дифференциации тарифов по централизованным системам водоотведения информация по ним указывается в отдельных строках.</t>
  </si>
  <si>
    <t>одноставочный тариф,_x000D_
руб./куб. м</t>
  </si>
  <si>
    <t>ставка платы за объем _x000D_
принятых сточных вод,_x000D_
руб./куб. м</t>
  </si>
  <si>
    <t>pt_ist_te_17</t>
  </si>
  <si>
    <t>Для каждого вида тарифа в сфере водоотведения форма заполняется отдельно. При размещении информации по данной форме дополнительно указываются сведения: наименование органа регулирования тарифов, принявшего решение об установлении тарифа, реквизиты (дата и номер) решения об установлении тарифа, источник официального опубликования решения об установлении тарифа.</t>
  </si>
  <si>
    <t>Для каждого вида тарифа в сфере водоотведения форма заполняется отдельно. При размещении информации по данной форме дополнительно указывается дата подачи заявления об утверждении тарифа и его номер.</t>
  </si>
  <si>
    <t>pt_ist_te_18</t>
  </si>
  <si>
    <t>Добавить протяженность сети</t>
  </si>
  <si>
    <t>Добавить диапазон диаметров</t>
  </si>
  <si>
    <t>Подключаемая нагрузка канализационной сети,_x000D_
куб. м/сут</t>
  </si>
  <si>
    <t>Диапазон диаметров канализационной сети,_x000D_
мм</t>
  </si>
  <si>
    <t>Протяженность канализационной  сети,_x000D_
км</t>
  </si>
  <si>
    <t>Ставка тарифа за подключаемую нагрузку канализационной сети,_x000D_
тыс. руб./куб. м в сутки</t>
  </si>
  <si>
    <t>Ставка тарифа за протяженность канализационной сети диаметром d,_x000D_
тыс. руб./км</t>
  </si>
  <si>
    <t>pt_ist_te_19</t>
  </si>
  <si>
    <r>
      <t xml:space="preserve">Информация о предоставлении электронного документа в исполнительный орган субъекта Российской Федерации в области государственного регулирования цен (тарифов) </t>
    </r>
    <r>
      <rPr>
        <vertAlign val="superscript"/>
        <sz val="9"/>
        <rFont val="Tahoma"/>
        <family val="2"/>
        <charset val="204"/>
      </rPr>
      <t>2</t>
    </r>
  </si>
  <si>
    <t>Данные электронного документа, подписанного усиленной квалифицированной электронной подписью уполномоченного представителя регулируемой организации</t>
  </si>
  <si>
    <t>Название документа</t>
  </si>
  <si>
    <t>Исходящий номер</t>
  </si>
  <si>
    <t>Дата отправления</t>
  </si>
  <si>
    <t>В колонке "Дата отправления" дата указывается в виде «ДД.ММ.ГГГГ»._x000D_
В колонке «Ссылка на документ» указывается ссылка на электронный документ, подписанный усиленной квалифицированной электронной подписью уполномоченного представителя регулируемой организации, предварительно загруженный в хранилище файлов ФГИС ЕИАС.</t>
  </si>
  <si>
    <r>
      <rPr>
        <vertAlign val="superscript"/>
        <sz val="9"/>
        <rFont val="Tahoma"/>
        <family val="2"/>
        <charset val="204"/>
      </rPr>
      <t>2</t>
    </r>
    <r>
      <rPr>
        <sz val="9"/>
        <rFont val="Tahoma"/>
        <family val="2"/>
        <charset val="204"/>
      </rPr>
      <t xml:space="preserve"> Размещается информация по каждой из форм раскрытия, данные в которой относятся к муниципальному образованию, в котором отсутствует доступ в сеть «Интернет».</t>
    </r>
  </si>
  <si>
    <t>Сведения об изменениях в первоначально опубликованной информации*</t>
  </si>
  <si>
    <t>Сведения</t>
  </si>
  <si>
    <t>Добавить</t>
  </si>
  <si>
    <t>* Лист заполняется в случае, если на Титульном листе в поле "Тип отчета" выбрано значение «Изменения в раскрытой ранее информации».</t>
  </si>
  <si>
    <t>Наименование органа регулирования тарифов</t>
  </si>
  <si>
    <t>Указывается в соответствии с нормативным правовым актом, на основании которого орган регулирования тарифов образован.</t>
  </si>
  <si>
    <t xml:space="preserve">Фамилия, имя и отчество руководителя: </t>
  </si>
  <si>
    <t>фамилия руководителя</t>
  </si>
  <si>
    <t>Указывается фамилия руководителя в соответствии с паспортными данными физического лица.</t>
  </si>
  <si>
    <t>имя руководителя</t>
  </si>
  <si>
    <t>Указывается имя руководителя в соответствии с паспортными данными физического лица.</t>
  </si>
  <si>
    <t>отчество руководителя</t>
  </si>
  <si>
    <t>Указывается отчество руководителя в соответствии с паспортными данными физического лица (при наличии).</t>
  </si>
  <si>
    <t xml:space="preserve">Почтовый адрес </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</si>
  <si>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территория._x000D_
Данные указываются согласно наименованиям адресных объектов в ФИАС.</t>
  </si>
  <si>
    <t xml:space="preserve">Адрес места нахождения </t>
  </si>
  <si>
    <t>Справочные телефоны</t>
  </si>
  <si>
    <t>Указывается номер контактного телефона. В случае наличия нескольких номеров телефонов, информация по каждому из них указывается в отдельной строке.</t>
  </si>
  <si>
    <t>Адрес официального сайта органа регулирования тарифов в сети "Интернет"</t>
  </si>
  <si>
    <t>Указывается адрес официального сайта в сети "Интернет". В случае отсутствия официального сайта в сети "Интернет" указывается "Отсутствует".</t>
  </si>
  <si>
    <t xml:space="preserve">Адрес электронной почты </t>
  </si>
  <si>
    <t>При наличии.</t>
  </si>
  <si>
    <t>Наименование организации</t>
  </si>
  <si>
    <t>ОГРН (ОГРНИП)</t>
  </si>
  <si>
    <t>Значение в поле «Наименование организации» содержит наименование юридического лица согласно уставу организации._x000D_
Значение в поле «ИНН» содержит идентификационный номер налогоплательщика._x000D_
Значение в поле «КПП» содержит код постановки на учёт._x000D_
Значение в поле «ОГРН (ОГРНИП)» содержит основной государственный регистрационный номер юридического лица (индивидуального предпринимателя).</t>
  </si>
  <si>
    <t>Добавить организацию</t>
  </si>
  <si>
    <t>дата</t>
  </si>
  <si>
    <t>время</t>
  </si>
  <si>
    <t>место</t>
  </si>
  <si>
    <t>В поле «Наименование органа регулирования тарифов»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образован._x000D_
В поле «дата» указывается дата в виде "ДД.ММ.ГГГГ»._x000D_
В поле «место» указывается адрес места проведения заседания (коллегии)._x000D_
В полях «Принятые органом регулирования… » и «Протокол заседания…» указываются ссылка на документ, предварительно загруженный в хранилище файлов ФГИС ЕИАС.</t>
  </si>
  <si>
    <t>Добавить заседание</t>
  </si>
  <si>
    <t>Добавить должностное лицо</t>
  </si>
  <si>
    <t>Форма 4. Информация о привлечении к административной ответственности организаций и должностных лиц за нарушение установленных порядка, способа, сроков раскрытия информации и форм ее предоставления</t>
  </si>
  <si>
    <t>Наименование юридического лица указывается согласно уставу организации.</t>
  </si>
  <si>
    <t>Указывается краткое описание нарушения с указанием статьи Кодекса Российской Федерации об административных правонарушениях.</t>
  </si>
  <si>
    <t>Указывается результат рассмотрения дела об административном правонарушении (с указанием вида административного наказания).</t>
  </si>
  <si>
    <t>Указывается ссылка на документ, предварительно загруженный в хранилище файлов ФГИС ЕИАС._x000D_
Раскрывается исполнительным органом субъекта Российской Федерации в области государственного регулирования цен (тарифов)</t>
  </si>
  <si>
    <t>Данные об организации, в отношении которой рассмотрено дело об административном правонарушении (общая информация о регулируемой организации и наименование должности)</t>
  </si>
  <si>
    <t xml:space="preserve">Наименование должности лица, в отношении которого рассмотрено дело об административном правонарушении </t>
  </si>
  <si>
    <t>Краткое описание нарушения</t>
  </si>
  <si>
    <t>Результат рассмотрения дела об административном правонарушении</t>
  </si>
  <si>
    <t>Наименование регулируемой организации</t>
  </si>
  <si>
    <t>Комментарии</t>
  </si>
  <si>
    <t>Результат проверки</t>
  </si>
  <si>
    <t>Ссылка</t>
  </si>
  <si>
    <t>Причина</t>
  </si>
  <si>
    <t>Статус</t>
  </si>
  <si>
    <t>Цвет</t>
  </si>
  <si>
    <t>Раздел</t>
  </si>
  <si>
    <t>доп.листы</t>
  </si>
  <si>
    <t>готовность</t>
  </si>
  <si>
    <t>ИП</t>
  </si>
  <si>
    <t>REGION_ID</t>
  </si>
  <si>
    <t>REGION_NAME</t>
  </si>
  <si>
    <t>RST_ORG_ID</t>
  </si>
  <si>
    <t>ORG_NAME</t>
  </si>
  <si>
    <t>INN_NAME</t>
  </si>
  <si>
    <t>KPP_NAME</t>
  </si>
  <si>
    <t>ORG_START_DATE</t>
  </si>
  <si>
    <t>ORG_END_DATE</t>
  </si>
  <si>
    <t>SPHERE</t>
  </si>
  <si>
    <t>2587</t>
  </si>
  <si>
    <t>26526333</t>
  </si>
  <si>
    <t>АО  «Белгородская теплосетевая компания»</t>
  </si>
  <si>
    <t>3123169468</t>
  </si>
  <si>
    <t>312350001</t>
  </si>
  <si>
    <t>06-12-2007 00:00:00</t>
  </si>
  <si>
    <t>31312451</t>
  </si>
  <si>
    <t>АО "Алексеевская сервисно-сбытовая компания"</t>
  </si>
  <si>
    <t>3122015264</t>
  </si>
  <si>
    <t>312201001</t>
  </si>
  <si>
    <t>31312427</t>
  </si>
  <si>
    <t>АО "Алексеевская теплосетевая компания"</t>
  </si>
  <si>
    <t>3122015257</t>
  </si>
  <si>
    <t>28830373</t>
  </si>
  <si>
    <t>АО "Белгороднефтепродукт"</t>
  </si>
  <si>
    <t>3123001345</t>
  </si>
  <si>
    <t>31046156</t>
  </si>
  <si>
    <t>АО "Белгородская региональная теплосетевая компания"</t>
  </si>
  <si>
    <t>3102041957</t>
  </si>
  <si>
    <t>310201001</t>
  </si>
  <si>
    <t>01-02-2018 00:00:00</t>
  </si>
  <si>
    <t>31228037</t>
  </si>
  <si>
    <t>АО "Борисовская теплосетевая компания"</t>
  </si>
  <si>
    <t>3103006137</t>
  </si>
  <si>
    <t>310301001</t>
  </si>
  <si>
    <t>28796046</t>
  </si>
  <si>
    <t>АО "ГТ Энерго"</t>
  </si>
  <si>
    <t>7703806647</t>
  </si>
  <si>
    <t>772801001</t>
  </si>
  <si>
    <t>30335229</t>
  </si>
  <si>
    <t>АО "ГУ ЖКХ"</t>
  </si>
  <si>
    <t>5116000922</t>
  </si>
  <si>
    <t>770401001</t>
  </si>
  <si>
    <t>26319211</t>
  </si>
  <si>
    <t>АО "Гормаш"</t>
  </si>
  <si>
    <t>3124013819</t>
  </si>
  <si>
    <t>312301001</t>
  </si>
  <si>
    <t>31324291</t>
  </si>
  <si>
    <t>АО "Грайворон - теплоэнерго"</t>
  </si>
  <si>
    <t>3108008748</t>
  </si>
  <si>
    <t>310801001</t>
  </si>
  <si>
    <t>03-06-2019 00:00:00</t>
  </si>
  <si>
    <t>28097141</t>
  </si>
  <si>
    <t>АО "Дирекция по развитию промышленных зон"</t>
  </si>
  <si>
    <t>3123190205</t>
  </si>
  <si>
    <t>31228066</t>
  </si>
  <si>
    <t>АО "Ивнянская теплосетевая компания"</t>
  </si>
  <si>
    <t>3109005877</t>
  </si>
  <si>
    <t>310901001</t>
  </si>
  <si>
    <t>26540696</t>
  </si>
  <si>
    <t>АО "КФ "Славянка"</t>
  </si>
  <si>
    <t>3128001300</t>
  </si>
  <si>
    <t>312800001</t>
  </si>
  <si>
    <t>26526453</t>
  </si>
  <si>
    <t>АО "Квадра" (АО "Квадра" - "Белгородская генерация")</t>
  </si>
  <si>
    <t>6829012680</t>
  </si>
  <si>
    <t>312343001</t>
  </si>
  <si>
    <t>31324507</t>
  </si>
  <si>
    <t>АО "Красненские тепловые сети"</t>
  </si>
  <si>
    <t>3112004778</t>
  </si>
  <si>
    <t>311201001</t>
  </si>
  <si>
    <t>01-06-2019 00:00:00</t>
  </si>
  <si>
    <t>26319213</t>
  </si>
  <si>
    <t>АО "Лебединский горно-обогатительный комбинат"</t>
  </si>
  <si>
    <t>3127000014</t>
  </si>
  <si>
    <t>997550001</t>
  </si>
  <si>
    <t>26466720</t>
  </si>
  <si>
    <t>АО "ОЗММ"</t>
  </si>
  <si>
    <t>3128005590</t>
  </si>
  <si>
    <t>26319223</t>
  </si>
  <si>
    <t>АО "ОЭМК им. А.А. Угарова"</t>
  </si>
  <si>
    <t>3128005752</t>
  </si>
  <si>
    <t>26838066</t>
  </si>
  <si>
    <t>АО "РЭУ"</t>
  </si>
  <si>
    <t>7714783092</t>
  </si>
  <si>
    <t>31312461</t>
  </si>
  <si>
    <t>АО "Районная теплосетевая компания"</t>
  </si>
  <si>
    <t>3122015240</t>
  </si>
  <si>
    <t>31215085</t>
  </si>
  <si>
    <t>АО "Ракитянская теплосетевая компания"</t>
  </si>
  <si>
    <t>3116006991</t>
  </si>
  <si>
    <t>311601001</t>
  </si>
  <si>
    <t>31228116</t>
  </si>
  <si>
    <t>АО "Ровеньские тепловые сети"</t>
  </si>
  <si>
    <t>3117012726</t>
  </si>
  <si>
    <t>311701001</t>
  </si>
  <si>
    <t>26319215</t>
  </si>
  <si>
    <t>АО "Стойленский горно-обогатительный комбинат"</t>
  </si>
  <si>
    <t>3128011788</t>
  </si>
  <si>
    <t>31309593</t>
  </si>
  <si>
    <t>АО "Тепловая компания"</t>
  </si>
  <si>
    <t>3114011629</t>
  </si>
  <si>
    <t>311401001</t>
  </si>
  <si>
    <t>31286929</t>
  </si>
  <si>
    <t>АО "Теплоком"</t>
  </si>
  <si>
    <t>3119009207</t>
  </si>
  <si>
    <t>311901001</t>
  </si>
  <si>
    <t>31398256</t>
  </si>
  <si>
    <t>АО "Теплоэнергетик Прохоровского района"</t>
  </si>
  <si>
    <t>3115007618</t>
  </si>
  <si>
    <t>311501001</t>
  </si>
  <si>
    <t>30358310</t>
  </si>
  <si>
    <t>АО "ЭФКО"</t>
  </si>
  <si>
    <t>3122000300</t>
  </si>
  <si>
    <t>12-11-2015 00:00:00</t>
  </si>
  <si>
    <t>26319226</t>
  </si>
  <si>
    <t>26540724</t>
  </si>
  <si>
    <t>БГТУ им.Шухова</t>
  </si>
  <si>
    <t>3123017793</t>
  </si>
  <si>
    <t>26521231</t>
  </si>
  <si>
    <t>Белгородский территориальный участок Юго-Восточной дирекции по тепловодоснабжению - структурного подразделения Центральной дирекции по тепловодоснабжению - филиала ОАО "РЖД"</t>
  </si>
  <si>
    <t>7708503727</t>
  </si>
  <si>
    <t>312345029</t>
  </si>
  <si>
    <t>26821504</t>
  </si>
  <si>
    <t>Воронежский территориальный участок Юго-Восточной дирекции по тепловодоснабжению - структурное подразделение Центральной дирекции по тепловодоснабжению - филиала ОАО "РЖД"</t>
  </si>
  <si>
    <t>366145016</t>
  </si>
  <si>
    <t>09-12-2011 00:00:00</t>
  </si>
  <si>
    <t>26466640</t>
  </si>
  <si>
    <t>ЗАО "Алексеевский молочноконсервный комбинат"</t>
  </si>
  <si>
    <t>3122000035</t>
  </si>
  <si>
    <t>28796070</t>
  </si>
  <si>
    <t>ЗАО "Племзавод "Разуменский"</t>
  </si>
  <si>
    <t>3102003292</t>
  </si>
  <si>
    <t>26319224</t>
  </si>
  <si>
    <t>ЗАО "Строительный центр"</t>
  </si>
  <si>
    <t>3128032361</t>
  </si>
  <si>
    <t>26466834</t>
  </si>
  <si>
    <t>МУП "Валуйское многоотраслевое объединение городского коммунального хозяйства"</t>
  </si>
  <si>
    <t>3126010475</t>
  </si>
  <si>
    <t>312601001</t>
  </si>
  <si>
    <t>26540614</t>
  </si>
  <si>
    <t>МУП "Тепловик"</t>
  </si>
  <si>
    <t>3110008865</t>
  </si>
  <si>
    <t>311001001</t>
  </si>
  <si>
    <t>26355734</t>
  </si>
  <si>
    <t>ОАО "Белмолпродукт"</t>
  </si>
  <si>
    <t>3125007871</t>
  </si>
  <si>
    <t>26540684</t>
  </si>
  <si>
    <t>ОАО "Старооскольский механический завод"</t>
  </si>
  <si>
    <t>3128000345</t>
  </si>
  <si>
    <t>26540642</t>
  </si>
  <si>
    <t>ОАО "Теплоэнерго"</t>
  </si>
  <si>
    <t>3128089632</t>
  </si>
  <si>
    <t>26466718</t>
  </si>
  <si>
    <t>ООО "БЕЛГОРСОЛОД"</t>
  </si>
  <si>
    <t>3123163716</t>
  </si>
  <si>
    <t>01-06-2008 00:00:00</t>
  </si>
  <si>
    <t>26319219</t>
  </si>
  <si>
    <t>ООО "Белгородская сетевая компания"</t>
  </si>
  <si>
    <t>3123057563</t>
  </si>
  <si>
    <t>28073276</t>
  </si>
  <si>
    <t>ООО "Белгородский консервный комбинат"</t>
  </si>
  <si>
    <t>3123078080</t>
  </si>
  <si>
    <t>31563977</t>
  </si>
  <si>
    <t>ООО "Белгородстройзаказчик-ЖКХ"</t>
  </si>
  <si>
    <t>3123484269</t>
  </si>
  <si>
    <t>27545553</t>
  </si>
  <si>
    <t>ООО "Белрегионтеплоэнерго"</t>
  </si>
  <si>
    <t>3123088748</t>
  </si>
  <si>
    <t>312101001</t>
  </si>
  <si>
    <t>26651938</t>
  </si>
  <si>
    <t>ООО "Белэнергомаш-БЗЭМ"</t>
  </si>
  <si>
    <t>3123315768</t>
  </si>
  <si>
    <t>785050001</t>
  </si>
  <si>
    <t>06-03-2009 00:00:00</t>
  </si>
  <si>
    <t>30912965</t>
  </si>
  <si>
    <t>ООО "Бирюченская тепловая компания"</t>
  </si>
  <si>
    <t>3111006250</t>
  </si>
  <si>
    <t>311101001</t>
  </si>
  <si>
    <t>31304663</t>
  </si>
  <si>
    <t>ООО "Вейделевские тепловые сети"</t>
  </si>
  <si>
    <t>3105004689</t>
  </si>
  <si>
    <t>310501001</t>
  </si>
  <si>
    <t>26823245</t>
  </si>
  <si>
    <t>ООО "Дмитротарановский сахарный завод"</t>
  </si>
  <si>
    <t>3102022471</t>
  </si>
  <si>
    <t>31205396</t>
  </si>
  <si>
    <t>ООО "Дубрава Строй Сервис"</t>
  </si>
  <si>
    <t>3123356281</t>
  </si>
  <si>
    <t>28435840</t>
  </si>
  <si>
    <t>ООО "Жилищное управление-ЖБК-1"</t>
  </si>
  <si>
    <t>3123148080</t>
  </si>
  <si>
    <t>26568736</t>
  </si>
  <si>
    <t>ООО "Комбинат строительных материалов"</t>
  </si>
  <si>
    <t>3128077281</t>
  </si>
  <si>
    <t>17-06-2010 00:00:00</t>
  </si>
  <si>
    <t>26619776</t>
  </si>
  <si>
    <t>ООО "Красногвардейские тепловые сети"</t>
  </si>
  <si>
    <t>3111505860</t>
  </si>
  <si>
    <t>31229947</t>
  </si>
  <si>
    <t>ООО "Краснояружские тепловые сети"</t>
  </si>
  <si>
    <t>3113002251</t>
  </si>
  <si>
    <t>311301001</t>
  </si>
  <si>
    <t>31204483</t>
  </si>
  <si>
    <t>ООО "МАРС"</t>
  </si>
  <si>
    <t>3123356348</t>
  </si>
  <si>
    <t>26610888</t>
  </si>
  <si>
    <t>ООО "Региональная генерирующая компания"</t>
  </si>
  <si>
    <t>3123152986</t>
  </si>
  <si>
    <t>31508114</t>
  </si>
  <si>
    <t>ООО "Рубикон-ТТ Проект"</t>
  </si>
  <si>
    <t>3123468732</t>
  </si>
  <si>
    <t>30395052</t>
  </si>
  <si>
    <t>ООО "СОЭК"</t>
  </si>
  <si>
    <t>3128058144</t>
  </si>
  <si>
    <t>27815216</t>
  </si>
  <si>
    <t>ООО "УК"Тальвег"</t>
  </si>
  <si>
    <t>3123164830</t>
  </si>
  <si>
    <t>26651971</t>
  </si>
  <si>
    <t>ООО "Цитробел"</t>
  </si>
  <si>
    <t>3123189383</t>
  </si>
  <si>
    <t>31341005</t>
  </si>
  <si>
    <t>ООО "Шебекинские тепловые сети"</t>
  </si>
  <si>
    <t>3120104102</t>
  </si>
  <si>
    <t>312001001</t>
  </si>
  <si>
    <t>30833091</t>
  </si>
  <si>
    <t>ООО "Энергосервисная компания ЖБК-1"</t>
  </si>
  <si>
    <t>3123389689</t>
  </si>
  <si>
    <t>26540598</t>
  </si>
  <si>
    <t>ООО РИТЭК</t>
  </si>
  <si>
    <t>3120086767</t>
  </si>
  <si>
    <t>26619778</t>
  </si>
  <si>
    <t>ООО Управляющая компания "СИРИУС"</t>
  </si>
  <si>
    <t>3123095914</t>
  </si>
  <si>
    <t>28795205</t>
  </si>
  <si>
    <t>ООО Энергосервисная компания "СИРИУС"</t>
  </si>
  <si>
    <t>3123344670</t>
  </si>
  <si>
    <t>30366049</t>
  </si>
  <si>
    <t>ОП "Воронежское" АО "ГУ ЖКХ"</t>
  </si>
  <si>
    <t>366445001</t>
  </si>
  <si>
    <t>21-10-2015 00:00:00</t>
  </si>
  <si>
    <t>26319208</t>
  </si>
  <si>
    <t>ПАО " БЕЛГОРОДАСБЕСТОЦЕМЕНТ"</t>
  </si>
  <si>
    <t>3123004089</t>
  </si>
  <si>
    <t>31170621</t>
  </si>
  <si>
    <t>ФКУ ИК-5 УФСИН России по Белгородской области</t>
  </si>
  <si>
    <t>3125008723</t>
  </si>
  <si>
    <t>26361059</t>
  </si>
  <si>
    <t>Филиал АО "Верофарм" в г. Белгороде</t>
  </si>
  <si>
    <t>7725081786</t>
  </si>
  <si>
    <t>312302001</t>
  </si>
  <si>
    <t>27135237</t>
  </si>
  <si>
    <t>Филиал ОАО "РЭУ" "Курский"</t>
  </si>
  <si>
    <t>463243001</t>
  </si>
  <si>
    <t>30941480</t>
  </si>
  <si>
    <t>Филиал ФГБУ "ЦЖКУ" Минобороны России по ЗВО</t>
  </si>
  <si>
    <t>7729314745</t>
  </si>
  <si>
    <t>784243001</t>
  </si>
  <si>
    <t>30903763</t>
  </si>
  <si>
    <t>ФГБУ "ЦЖКУ" МИНОБОРОНЫ РОССИИ</t>
  </si>
  <si>
    <t>770101001</t>
  </si>
  <si>
    <t>26560525</t>
  </si>
  <si>
    <t>511601001</t>
  </si>
  <si>
    <t>13-05-2009 00:00:00</t>
  </si>
  <si>
    <t>26466706</t>
  </si>
  <si>
    <t>АО "Комбинат КМАруда"</t>
  </si>
  <si>
    <t>3127000021</t>
  </si>
  <si>
    <t>424950001</t>
  </si>
  <si>
    <t>27972927</t>
  </si>
  <si>
    <t>АО "Яснозоренское"</t>
  </si>
  <si>
    <t>3102018098</t>
  </si>
  <si>
    <t>31343966</t>
  </si>
  <si>
    <t>ГУП "Белоблводоканал"</t>
  </si>
  <si>
    <t>3123460476</t>
  </si>
  <si>
    <t>31338890</t>
  </si>
  <si>
    <t>ГУП "Губкин Сервис"</t>
  </si>
  <si>
    <t>3127017628</t>
  </si>
  <si>
    <t>312701001</t>
  </si>
  <si>
    <t>01-03-2023 00:00:00</t>
  </si>
  <si>
    <t>31350483</t>
  </si>
  <si>
    <t>ГУП "Старооскольский водоканал"</t>
  </si>
  <si>
    <t>3128143304</t>
  </si>
  <si>
    <t>26319206</t>
  </si>
  <si>
    <t>ЗАО "Белгородский цемент"</t>
  </si>
  <si>
    <t>3123003920</t>
  </si>
  <si>
    <t>26824580</t>
  </si>
  <si>
    <t>ЗАО "Должанское"</t>
  </si>
  <si>
    <t>3105000250</t>
  </si>
  <si>
    <t>26319205</t>
  </si>
  <si>
    <t>ЗАО "Спецэнерго"</t>
  </si>
  <si>
    <t>3128025082</t>
  </si>
  <si>
    <t>26824577</t>
  </si>
  <si>
    <t>ЗАО имени Кирова</t>
  </si>
  <si>
    <t>3105000010</t>
  </si>
  <si>
    <t>26466660</t>
  </si>
  <si>
    <t>КФХ глава ИП Колесникова Е.В.</t>
  </si>
  <si>
    <t>310900808660</t>
  </si>
  <si>
    <t>27-03-2023 00:00:00</t>
  </si>
  <si>
    <t>27952184</t>
  </si>
  <si>
    <t>ОАО "Белмолпродукт" ОП Волоконовский консервный комбинат"</t>
  </si>
  <si>
    <t>310645001</t>
  </si>
  <si>
    <t>25-02-2011 00:00:00</t>
  </si>
  <si>
    <t>26466692</t>
  </si>
  <si>
    <t>ОАО "Завод ЖБК-1"</t>
  </si>
  <si>
    <t>3123093988</t>
  </si>
  <si>
    <t>27674831</t>
  </si>
  <si>
    <t>ОАО "Машиностроитель"</t>
  </si>
  <si>
    <t>3111000435</t>
  </si>
  <si>
    <t>26622015</t>
  </si>
  <si>
    <t>ОГАПОУ  "Ютановский агромеханический техникум им. Е.П. Ковалевского"</t>
  </si>
  <si>
    <t>3106001930</t>
  </si>
  <si>
    <t>310601001</t>
  </si>
  <si>
    <t>26466638</t>
  </si>
  <si>
    <t>ООО "Биохим-Сервис"</t>
  </si>
  <si>
    <t>3120011056</t>
  </si>
  <si>
    <t>26466622</t>
  </si>
  <si>
    <t>ООО "Вода"</t>
  </si>
  <si>
    <t>3108007159</t>
  </si>
  <si>
    <t>27285552</t>
  </si>
  <si>
    <t>ООО "Вода" Борисовская</t>
  </si>
  <si>
    <t>3103005197</t>
  </si>
  <si>
    <t>26466678</t>
  </si>
  <si>
    <t>ООО "Возрождение"</t>
  </si>
  <si>
    <t>3111004207</t>
  </si>
  <si>
    <t>26621402</t>
  </si>
  <si>
    <t>ООО "ИвняВодСервис"</t>
  </si>
  <si>
    <t>3109005073</t>
  </si>
  <si>
    <t>26466614</t>
  </si>
  <si>
    <t>ООО "Красногвардейский водоканал"</t>
  </si>
  <si>
    <t>3111504721</t>
  </si>
  <si>
    <t>31448446</t>
  </si>
  <si>
    <t>ООО "МПЗ Агро-Белогорье"</t>
  </si>
  <si>
    <t>3123183960</t>
  </si>
  <si>
    <t>30942606</t>
  </si>
  <si>
    <t>ООО "РУСАГРО-БЕЛГОРОД"-Филиал "Чернянский"</t>
  </si>
  <si>
    <t>3126019943</t>
  </si>
  <si>
    <t>311943001</t>
  </si>
  <si>
    <t>26756178</t>
  </si>
  <si>
    <t>ООО "Ракитянский водсервис"</t>
  </si>
  <si>
    <t>3116006085</t>
  </si>
  <si>
    <t>02-06-2010 00:00:00</t>
  </si>
  <si>
    <t>30921702</t>
  </si>
  <si>
    <t>ООО "Русагро-Белгород"- Филиал "Ника"</t>
  </si>
  <si>
    <t>26466688</t>
  </si>
  <si>
    <t>ООО "УК "Пятницкое"</t>
  </si>
  <si>
    <t>3106006583</t>
  </si>
  <si>
    <t>31346634</t>
  </si>
  <si>
    <t>ООО "УК "Русь"</t>
  </si>
  <si>
    <t>3123356500</t>
  </si>
  <si>
    <t>31449928</t>
  </si>
  <si>
    <t>ООО "УК"СтандартПромПарк"</t>
  </si>
  <si>
    <t>3123455420</t>
  </si>
  <si>
    <t>31448454</t>
  </si>
  <si>
    <t>ООО "Яковлевский комбикормовый завод"</t>
  </si>
  <si>
    <t>3121000762</t>
  </si>
  <si>
    <t>31193801</t>
  </si>
  <si>
    <t>ОСП АО "Росспиртпром" "ВЕСЕЛАЯ ЛОПАНЬ"</t>
  </si>
  <si>
    <t>7730605160</t>
  </si>
  <si>
    <t>310245001</t>
  </si>
  <si>
    <t>26466682</t>
  </si>
  <si>
    <t>Общество с ограниченной ответственностью "Водсервис"</t>
  </si>
  <si>
    <t>3113001385</t>
  </si>
  <si>
    <t>26466632</t>
  </si>
  <si>
    <t>СПК "Большевик"</t>
  </si>
  <si>
    <t>3111000770</t>
  </si>
  <si>
    <t>30843068</t>
  </si>
  <si>
    <t>СПК "Колхоз имени Горина"</t>
  </si>
  <si>
    <t>3102003214</t>
  </si>
  <si>
    <t>31402403</t>
  </si>
  <si>
    <t>ЗАО "Томаровский мясокомбинат"</t>
  </si>
  <si>
    <t>3121070086</t>
  </si>
  <si>
    <t>26466754</t>
  </si>
  <si>
    <t>ООО "Коммунальщик-Л"</t>
  </si>
  <si>
    <t>3120011592</t>
  </si>
  <si>
    <t>31226945</t>
  </si>
  <si>
    <t>ООО "Экологические системы"</t>
  </si>
  <si>
    <t>3117012684</t>
  </si>
  <si>
    <t>28489622</t>
  </si>
  <si>
    <t>МАУ "Коммунальная служба сервиса"</t>
  </si>
  <si>
    <t>3120012187</t>
  </si>
  <si>
    <t>28145530</t>
  </si>
  <si>
    <t>МУП "Благоустройство и озеленение"</t>
  </si>
  <si>
    <t>3116006342</t>
  </si>
  <si>
    <t>18-05-2023 00:00:00</t>
  </si>
  <si>
    <t>26466842</t>
  </si>
  <si>
    <t>3119007200</t>
  </si>
  <si>
    <t>26466846</t>
  </si>
  <si>
    <t>МУП "Жилищно-коммунальное хозяйство"</t>
  </si>
  <si>
    <t>3114009595</t>
  </si>
  <si>
    <t>26466864</t>
  </si>
  <si>
    <t>МУП БОЖФ "Волоконовское"</t>
  </si>
  <si>
    <t>3106005519</t>
  </si>
  <si>
    <t>31423847</t>
  </si>
  <si>
    <t>ООО "Коммунальщик п. Вейделевка"</t>
  </si>
  <si>
    <t>3105004752</t>
  </si>
  <si>
    <t>26466858</t>
  </si>
  <si>
    <t>ООО "Спецэкотранс"</t>
  </si>
  <si>
    <t>3122506819</t>
  </si>
  <si>
    <t>30933855</t>
  </si>
  <si>
    <t>ООО "Флагман"</t>
  </si>
  <si>
    <t>3123334834</t>
  </si>
  <si>
    <t>31218595</t>
  </si>
  <si>
    <t>ООО "ЦЭБ"</t>
  </si>
  <si>
    <t>3114011097</t>
  </si>
  <si>
    <t>31004711</t>
  </si>
  <si>
    <t>ООО "Экотранс-С"</t>
  </si>
  <si>
    <t>3123151206</t>
  </si>
  <si>
    <t>31268590</t>
  </si>
  <si>
    <t>ООО «Регион Цемент»</t>
  </si>
  <si>
    <t>3102015932</t>
  </si>
  <si>
    <t>26466862</t>
  </si>
  <si>
    <t>ООО ТК "Экотранс"</t>
  </si>
  <si>
    <t>3123084038</t>
  </si>
  <si>
    <t>NSRF</t>
  </si>
  <si>
    <t>MR_NAME</t>
  </si>
  <si>
    <t>OKTMO_MR_NAME</t>
  </si>
  <si>
    <t>MO_NAME</t>
  </si>
  <si>
    <t>OKTMO_NAME</t>
  </si>
  <si>
    <t>TYPE</t>
  </si>
  <si>
    <t>MR_ID</t>
  </si>
  <si>
    <t>Алексеевский городской округ</t>
  </si>
  <si>
    <t>14710000</t>
  </si>
  <si>
    <t>городской округ</t>
  </si>
  <si>
    <t>Белгородский муниципальный район</t>
  </si>
  <si>
    <t>14610000</t>
  </si>
  <si>
    <t>муниципальный район</t>
  </si>
  <si>
    <t>Беловское</t>
  </si>
  <si>
    <t>14610492</t>
  </si>
  <si>
    <t>сельское поселение</t>
  </si>
  <si>
    <t>Беломестненское</t>
  </si>
  <si>
    <t>14610404</t>
  </si>
  <si>
    <t>Бессоновское</t>
  </si>
  <si>
    <t>14610408</t>
  </si>
  <si>
    <t>Веселолопанское</t>
  </si>
  <si>
    <t>14610424</t>
  </si>
  <si>
    <t>Головинское</t>
  </si>
  <si>
    <t>14610428</t>
  </si>
  <si>
    <t>Дубовское</t>
  </si>
  <si>
    <t>14610476</t>
  </si>
  <si>
    <t>Ериковское</t>
  </si>
  <si>
    <t>14610430</t>
  </si>
  <si>
    <t>Журавлевское</t>
  </si>
  <si>
    <t>14610432</t>
  </si>
  <si>
    <t>Комсомольское</t>
  </si>
  <si>
    <t>14610435</t>
  </si>
  <si>
    <t>Краснооктябрьское</t>
  </si>
  <si>
    <t>14610436</t>
  </si>
  <si>
    <t>Крутологское</t>
  </si>
  <si>
    <t>14610446</t>
  </si>
  <si>
    <t>Майское</t>
  </si>
  <si>
    <t>14610450</t>
  </si>
  <si>
    <t>Малиновское</t>
  </si>
  <si>
    <t>14610456</t>
  </si>
  <si>
    <t>Никольское</t>
  </si>
  <si>
    <t>14610452</t>
  </si>
  <si>
    <t>Новосадовское</t>
  </si>
  <si>
    <t>14610453</t>
  </si>
  <si>
    <t>Пушкарское</t>
  </si>
  <si>
    <t>14610460</t>
  </si>
  <si>
    <t>Стрелецкое</t>
  </si>
  <si>
    <t>14610472</t>
  </si>
  <si>
    <t>Тавровское</t>
  </si>
  <si>
    <t>14610474</t>
  </si>
  <si>
    <t>Хохловское</t>
  </si>
  <si>
    <t>14610475</t>
  </si>
  <si>
    <t>Щетиновское</t>
  </si>
  <si>
    <t>14610488</t>
  </si>
  <si>
    <t>Яснозоренское</t>
  </si>
  <si>
    <t>14610490</t>
  </si>
  <si>
    <t>поселок Октябрьский</t>
  </si>
  <si>
    <t>14610160</t>
  </si>
  <si>
    <t>городское поселение, в состав которого входит поселок</t>
  </si>
  <si>
    <t>поселок Разумное</t>
  </si>
  <si>
    <t>14610165</t>
  </si>
  <si>
    <t>поселок Северный</t>
  </si>
  <si>
    <t>14610167</t>
  </si>
  <si>
    <t>Борисовский район</t>
  </si>
  <si>
    <t>14615000</t>
  </si>
  <si>
    <t>Акулиновское</t>
  </si>
  <si>
    <t>14615404</t>
  </si>
  <si>
    <t>Белянское</t>
  </si>
  <si>
    <t>14615416</t>
  </si>
  <si>
    <t>Березовское</t>
  </si>
  <si>
    <t>14615420</t>
  </si>
  <si>
    <t>Грузсчанское</t>
  </si>
  <si>
    <t>14615432</t>
  </si>
  <si>
    <t>Краснокутское</t>
  </si>
  <si>
    <t>14615448</t>
  </si>
  <si>
    <t>Крюковское</t>
  </si>
  <si>
    <t>14615464</t>
  </si>
  <si>
    <t>Октябрьско-Готнянское</t>
  </si>
  <si>
    <t>14615476</t>
  </si>
  <si>
    <t>Стригуновское</t>
  </si>
  <si>
    <t>14615488</t>
  </si>
  <si>
    <t>Хотмыжское</t>
  </si>
  <si>
    <t>14615492</t>
  </si>
  <si>
    <t>поселок Борисовка</t>
  </si>
  <si>
    <t>14615151</t>
  </si>
  <si>
    <t>Валуйский городской округ</t>
  </si>
  <si>
    <t>14720000</t>
  </si>
  <si>
    <t>Вейделевский муниципальный район</t>
  </si>
  <si>
    <t>14625000</t>
  </si>
  <si>
    <t>Белоколодезское</t>
  </si>
  <si>
    <t>14625404</t>
  </si>
  <si>
    <t>Большелипяговское</t>
  </si>
  <si>
    <t>14625408</t>
  </si>
  <si>
    <t>Викторопольское</t>
  </si>
  <si>
    <t>14625412</t>
  </si>
  <si>
    <t>Должанское</t>
  </si>
  <si>
    <t>14625416</t>
  </si>
  <si>
    <t>Закутчанское</t>
  </si>
  <si>
    <t>14625420</t>
  </si>
  <si>
    <t>Зенинское</t>
  </si>
  <si>
    <t>14625424</t>
  </si>
  <si>
    <t>Клименковское</t>
  </si>
  <si>
    <t>14625428</t>
  </si>
  <si>
    <t>Кубраковское</t>
  </si>
  <si>
    <t>14625432</t>
  </si>
  <si>
    <t>Малакеевское</t>
  </si>
  <si>
    <t>14625436</t>
  </si>
  <si>
    <t>Николаевское</t>
  </si>
  <si>
    <t>14625440</t>
  </si>
  <si>
    <t>Солонцинское</t>
  </si>
  <si>
    <t>14625449</t>
  </si>
  <si>
    <t>поселок Вейделевка</t>
  </si>
  <si>
    <t>14625151</t>
  </si>
  <si>
    <t>Волоконовский муниципальный район</t>
  </si>
  <si>
    <t>14630000</t>
  </si>
  <si>
    <t>Борисовское</t>
  </si>
  <si>
    <t>14630404</t>
  </si>
  <si>
    <t>Волчье-Александровское</t>
  </si>
  <si>
    <t>14630408</t>
  </si>
  <si>
    <t>Голофеевское</t>
  </si>
  <si>
    <t>14630412</t>
  </si>
  <si>
    <t>Грушевское</t>
  </si>
  <si>
    <t>14630416</t>
  </si>
  <si>
    <t>Погромское</t>
  </si>
  <si>
    <t>14630420</t>
  </si>
  <si>
    <t>Покровское</t>
  </si>
  <si>
    <t>14630424</t>
  </si>
  <si>
    <t>Поселок Пятницкое</t>
  </si>
  <si>
    <t>14630162</t>
  </si>
  <si>
    <t>Репьевское</t>
  </si>
  <si>
    <t>14630428</t>
  </si>
  <si>
    <t>60</t>
  </si>
  <si>
    <t>Староивановское</t>
  </si>
  <si>
    <t>14630432</t>
  </si>
  <si>
    <t>61</t>
  </si>
  <si>
    <t>Тишанское</t>
  </si>
  <si>
    <t>14630436</t>
  </si>
  <si>
    <t>62</t>
  </si>
  <si>
    <t>Фощеватовское</t>
  </si>
  <si>
    <t>14630440</t>
  </si>
  <si>
    <t>63</t>
  </si>
  <si>
    <t>Шидловское</t>
  </si>
  <si>
    <t>14630444</t>
  </si>
  <si>
    <t>64</t>
  </si>
  <si>
    <t>Ютановское</t>
  </si>
  <si>
    <t>14630448</t>
  </si>
  <si>
    <t>65</t>
  </si>
  <si>
    <t>поселок Волоконовка</t>
  </si>
  <si>
    <t>14630151</t>
  </si>
  <si>
    <t>Грайворонский городской округ</t>
  </si>
  <si>
    <t>14725000</t>
  </si>
  <si>
    <t>67</t>
  </si>
  <si>
    <t>Грайворонский район</t>
  </si>
  <si>
    <t>14632000</t>
  </si>
  <si>
    <t>Безыменское</t>
  </si>
  <si>
    <t>14632412</t>
  </si>
  <si>
    <t>Головчинское</t>
  </si>
  <si>
    <t>14632424</t>
  </si>
  <si>
    <t>69</t>
  </si>
  <si>
    <t>Гора-Подольское</t>
  </si>
  <si>
    <t>14632428</t>
  </si>
  <si>
    <t>70</t>
  </si>
  <si>
    <t>Горьковское</t>
  </si>
  <si>
    <t>14632486</t>
  </si>
  <si>
    <t>71</t>
  </si>
  <si>
    <t>72</t>
  </si>
  <si>
    <t>Доброивановское</t>
  </si>
  <si>
    <t>14632436</t>
  </si>
  <si>
    <t>73</t>
  </si>
  <si>
    <t>Дорогощанское</t>
  </si>
  <si>
    <t>14632440</t>
  </si>
  <si>
    <t>74</t>
  </si>
  <si>
    <t>Дунайское</t>
  </si>
  <si>
    <t>14632444</t>
  </si>
  <si>
    <t>75</t>
  </si>
  <si>
    <t>Ивано-Лисичанское</t>
  </si>
  <si>
    <t>14632448</t>
  </si>
  <si>
    <t>76</t>
  </si>
  <si>
    <t>Козинское</t>
  </si>
  <si>
    <t>14632452</t>
  </si>
  <si>
    <t>77</t>
  </si>
  <si>
    <t>Мокроорловское</t>
  </si>
  <si>
    <t>14632468</t>
  </si>
  <si>
    <t>78</t>
  </si>
  <si>
    <t>Новостроевское</t>
  </si>
  <si>
    <t>14632472</t>
  </si>
  <si>
    <t>79</t>
  </si>
  <si>
    <t>Смородинское</t>
  </si>
  <si>
    <t>14632484</t>
  </si>
  <si>
    <t>80</t>
  </si>
  <si>
    <t>город Грайворон</t>
  </si>
  <si>
    <t>14632101</t>
  </si>
  <si>
    <t>городское поселение, в состав которого входит город</t>
  </si>
  <si>
    <t>81</t>
  </si>
  <si>
    <t>Губкинский городской округ</t>
  </si>
  <si>
    <t>14730000</t>
  </si>
  <si>
    <t>82</t>
  </si>
  <si>
    <t>Ивнянский район</t>
  </si>
  <si>
    <t>14638000</t>
  </si>
  <si>
    <t>Богатенское</t>
  </si>
  <si>
    <t>14638406</t>
  </si>
  <si>
    <t>83</t>
  </si>
  <si>
    <t>Верхопенское</t>
  </si>
  <si>
    <t>14638408</t>
  </si>
  <si>
    <t>84</t>
  </si>
  <si>
    <t>Владимировское</t>
  </si>
  <si>
    <t>14638410</t>
  </si>
  <si>
    <t>85</t>
  </si>
  <si>
    <t>Вознесеновское</t>
  </si>
  <si>
    <t>14638412</t>
  </si>
  <si>
    <t>86</t>
  </si>
  <si>
    <t>Драгунское</t>
  </si>
  <si>
    <t>14638416</t>
  </si>
  <si>
    <t>87</t>
  </si>
  <si>
    <t>88</t>
  </si>
  <si>
    <t>Кочетовское</t>
  </si>
  <si>
    <t>14638420</t>
  </si>
  <si>
    <t>89</t>
  </si>
  <si>
    <t>Курасовское</t>
  </si>
  <si>
    <t>14638424</t>
  </si>
  <si>
    <t>90</t>
  </si>
  <si>
    <t>Новенское</t>
  </si>
  <si>
    <t>14638428</t>
  </si>
  <si>
    <t>91</t>
  </si>
  <si>
    <t>14638436</t>
  </si>
  <si>
    <t>92</t>
  </si>
  <si>
    <t>Сафоновское</t>
  </si>
  <si>
    <t>14638440</t>
  </si>
  <si>
    <t>93</t>
  </si>
  <si>
    <t>Сухосолотинское</t>
  </si>
  <si>
    <t>14638444</t>
  </si>
  <si>
    <t>94</t>
  </si>
  <si>
    <t>Сырцевское</t>
  </si>
  <si>
    <t>14638448</t>
  </si>
  <si>
    <t>95</t>
  </si>
  <si>
    <t>Хомутчанское</t>
  </si>
  <si>
    <t>14638452</t>
  </si>
  <si>
    <t>96</t>
  </si>
  <si>
    <t>Череновское</t>
  </si>
  <si>
    <t>14638432</t>
  </si>
  <si>
    <t>97</t>
  </si>
  <si>
    <t>поселок Ивня</t>
  </si>
  <si>
    <t>14638151</t>
  </si>
  <si>
    <t>98</t>
  </si>
  <si>
    <t>Корочанский район</t>
  </si>
  <si>
    <t>14640000</t>
  </si>
  <si>
    <t>Алексеевское</t>
  </si>
  <si>
    <t>14640404</t>
  </si>
  <si>
    <t>99</t>
  </si>
  <si>
    <t>Анновское</t>
  </si>
  <si>
    <t>14640408</t>
  </si>
  <si>
    <t>100</t>
  </si>
  <si>
    <t>Афанасовское</t>
  </si>
  <si>
    <t>14640412</t>
  </si>
  <si>
    <t>101</t>
  </si>
  <si>
    <t>Бехтеевское</t>
  </si>
  <si>
    <t>14640416</t>
  </si>
  <si>
    <t>102</t>
  </si>
  <si>
    <t>Большехаланское</t>
  </si>
  <si>
    <t>14640420</t>
  </si>
  <si>
    <t>103</t>
  </si>
  <si>
    <t>Бубновское</t>
  </si>
  <si>
    <t>14640424</t>
  </si>
  <si>
    <t>104</t>
  </si>
  <si>
    <t>Жигайловское</t>
  </si>
  <si>
    <t>14640428</t>
  </si>
  <si>
    <t>105</t>
  </si>
  <si>
    <t>Заяченское</t>
  </si>
  <si>
    <t>14640431</t>
  </si>
  <si>
    <t>106</t>
  </si>
  <si>
    <t>Коротковское</t>
  </si>
  <si>
    <t>14640436</t>
  </si>
  <si>
    <t>107</t>
  </si>
  <si>
    <t>108</t>
  </si>
  <si>
    <t>Кощеевское</t>
  </si>
  <si>
    <t>14640440</t>
  </si>
  <si>
    <t>109</t>
  </si>
  <si>
    <t>Ломовское</t>
  </si>
  <si>
    <t>14640444</t>
  </si>
  <si>
    <t>110</t>
  </si>
  <si>
    <t>Мелиховское</t>
  </si>
  <si>
    <t>14640448</t>
  </si>
  <si>
    <t>111</t>
  </si>
  <si>
    <t>Новослободское</t>
  </si>
  <si>
    <t>14640452</t>
  </si>
  <si>
    <t>112</t>
  </si>
  <si>
    <t>Плосковское</t>
  </si>
  <si>
    <t>14640458</t>
  </si>
  <si>
    <t>113</t>
  </si>
  <si>
    <t>Плотавское</t>
  </si>
  <si>
    <t>14640460</t>
  </si>
  <si>
    <t>114</t>
  </si>
  <si>
    <t>Погореловское</t>
  </si>
  <si>
    <t>14640464</t>
  </si>
  <si>
    <t>115</t>
  </si>
  <si>
    <t>Поповское</t>
  </si>
  <si>
    <t>14640468</t>
  </si>
  <si>
    <t>116</t>
  </si>
  <si>
    <t>Проходенское</t>
  </si>
  <si>
    <t>14640472</t>
  </si>
  <si>
    <t>117</t>
  </si>
  <si>
    <t>Соколовское</t>
  </si>
  <si>
    <t>14640476</t>
  </si>
  <si>
    <t>118</t>
  </si>
  <si>
    <t>Шеинское</t>
  </si>
  <si>
    <t>14640488</t>
  </si>
  <si>
    <t>119</t>
  </si>
  <si>
    <t>Шляховское</t>
  </si>
  <si>
    <t>14640492</t>
  </si>
  <si>
    <t>120</t>
  </si>
  <si>
    <t>Яблоновское</t>
  </si>
  <si>
    <t>14640496</t>
  </si>
  <si>
    <t>121</t>
  </si>
  <si>
    <t>город Короча</t>
  </si>
  <si>
    <t>14640101</t>
  </si>
  <si>
    <t>122</t>
  </si>
  <si>
    <t>Красненский район</t>
  </si>
  <si>
    <t>14641000</t>
  </si>
  <si>
    <t>Большовское</t>
  </si>
  <si>
    <t>14641409</t>
  </si>
  <si>
    <t>123</t>
  </si>
  <si>
    <t>Горкинское</t>
  </si>
  <si>
    <t>14641417</t>
  </si>
  <si>
    <t>124</t>
  </si>
  <si>
    <t>Готовское</t>
  </si>
  <si>
    <t>14641423</t>
  </si>
  <si>
    <t>125</t>
  </si>
  <si>
    <t>Камызинское</t>
  </si>
  <si>
    <t>14641448</t>
  </si>
  <si>
    <t>126</t>
  </si>
  <si>
    <t>127</t>
  </si>
  <si>
    <t>Красненское</t>
  </si>
  <si>
    <t>14641478</t>
  </si>
  <si>
    <t>128</t>
  </si>
  <si>
    <t>Кругловское</t>
  </si>
  <si>
    <t>14641453</t>
  </si>
  <si>
    <t>129</t>
  </si>
  <si>
    <t>Лесноуколовское</t>
  </si>
  <si>
    <t>14641459</t>
  </si>
  <si>
    <t>130</t>
  </si>
  <si>
    <t>Новоуколовское</t>
  </si>
  <si>
    <t>14641472</t>
  </si>
  <si>
    <t>131</t>
  </si>
  <si>
    <t>Расховецкое</t>
  </si>
  <si>
    <t>14641483</t>
  </si>
  <si>
    <t>132</t>
  </si>
  <si>
    <t>Сетищенское</t>
  </si>
  <si>
    <t>14641487</t>
  </si>
  <si>
    <t>133</t>
  </si>
  <si>
    <t>Красногвардейский район</t>
  </si>
  <si>
    <t>14642000</t>
  </si>
  <si>
    <t>Валуйчанское</t>
  </si>
  <si>
    <t>14642404</t>
  </si>
  <si>
    <t>134</t>
  </si>
  <si>
    <t>Верхнепокровское</t>
  </si>
  <si>
    <t>14642412</t>
  </si>
  <si>
    <t>135</t>
  </si>
  <si>
    <t>Верхососенское</t>
  </si>
  <si>
    <t>14642416</t>
  </si>
  <si>
    <t>136</t>
  </si>
  <si>
    <t>Веселовское</t>
  </si>
  <si>
    <t>14642420</t>
  </si>
  <si>
    <t>137</t>
  </si>
  <si>
    <t>Засосенское</t>
  </si>
  <si>
    <t>14642424</t>
  </si>
  <si>
    <t>138</t>
  </si>
  <si>
    <t>Калиновское</t>
  </si>
  <si>
    <t>14642428</t>
  </si>
  <si>
    <t>139</t>
  </si>
  <si>
    <t>Коломыцевское</t>
  </si>
  <si>
    <t>14642408</t>
  </si>
  <si>
    <t>140</t>
  </si>
  <si>
    <t>141</t>
  </si>
  <si>
    <t>Ливенское</t>
  </si>
  <si>
    <t>14642436</t>
  </si>
  <si>
    <t>142</t>
  </si>
  <si>
    <t>Марьевское</t>
  </si>
  <si>
    <t>14642440</t>
  </si>
  <si>
    <t>143</t>
  </si>
  <si>
    <t>Никитовское</t>
  </si>
  <si>
    <t>14642444</t>
  </si>
  <si>
    <t>144</t>
  </si>
  <si>
    <t>Новохуторное</t>
  </si>
  <si>
    <t>14642448</t>
  </si>
  <si>
    <t>145</t>
  </si>
  <si>
    <t>Палатовское</t>
  </si>
  <si>
    <t>14642452</t>
  </si>
  <si>
    <t>146</t>
  </si>
  <si>
    <t>14642456</t>
  </si>
  <si>
    <t>147</t>
  </si>
  <si>
    <t>Утянское</t>
  </si>
  <si>
    <t>14642460</t>
  </si>
  <si>
    <t>148</t>
  </si>
  <si>
    <t>город Бирюч</t>
  </si>
  <si>
    <t>14642151</t>
  </si>
  <si>
    <t>149</t>
  </si>
  <si>
    <t>Краснояружский район</t>
  </si>
  <si>
    <t>14643000</t>
  </si>
  <si>
    <t>Вязовское</t>
  </si>
  <si>
    <t>14643405</t>
  </si>
  <si>
    <t>150</t>
  </si>
  <si>
    <t>Графовское</t>
  </si>
  <si>
    <t>14643410</t>
  </si>
  <si>
    <t>151</t>
  </si>
  <si>
    <t>Илек-Пеньковское</t>
  </si>
  <si>
    <t>14643415</t>
  </si>
  <si>
    <t>152</t>
  </si>
  <si>
    <t>Колотиловское</t>
  </si>
  <si>
    <t>14643418</t>
  </si>
  <si>
    <t>153</t>
  </si>
  <si>
    <t>154</t>
  </si>
  <si>
    <t>Репяховское</t>
  </si>
  <si>
    <t>14643430</t>
  </si>
  <si>
    <t>155</t>
  </si>
  <si>
    <t>Сергиевское</t>
  </si>
  <si>
    <t>14643435</t>
  </si>
  <si>
    <t>156</t>
  </si>
  <si>
    <t>Теребренское</t>
  </si>
  <si>
    <t>14643440</t>
  </si>
  <si>
    <t>157</t>
  </si>
  <si>
    <t>поселок Красная Яруга</t>
  </si>
  <si>
    <t>14643151</t>
  </si>
  <si>
    <t>158</t>
  </si>
  <si>
    <t>Муниципальный район Алексеевский район и город Алексеевка</t>
  </si>
  <si>
    <t>14605000</t>
  </si>
  <si>
    <t>Алейниковское</t>
  </si>
  <si>
    <t>14605404</t>
  </si>
  <si>
    <t>159</t>
  </si>
  <si>
    <t>Афанасьевское</t>
  </si>
  <si>
    <t>14605408</t>
  </si>
  <si>
    <t>160</t>
  </si>
  <si>
    <t>Варваровское</t>
  </si>
  <si>
    <t>14605416</t>
  </si>
  <si>
    <t>161</t>
  </si>
  <si>
    <t>Гарбузовское</t>
  </si>
  <si>
    <t>14605422</t>
  </si>
  <si>
    <t>162</t>
  </si>
  <si>
    <t>Глуховское</t>
  </si>
  <si>
    <t>14605424</t>
  </si>
  <si>
    <t>163</t>
  </si>
  <si>
    <t>Жуковское</t>
  </si>
  <si>
    <t>14605436</t>
  </si>
  <si>
    <t>164</t>
  </si>
  <si>
    <t>Иващенковское</t>
  </si>
  <si>
    <t>14605440</t>
  </si>
  <si>
    <t>165</t>
  </si>
  <si>
    <t>Иловское</t>
  </si>
  <si>
    <t>14605444</t>
  </si>
  <si>
    <t>166</t>
  </si>
  <si>
    <t>Ильинское</t>
  </si>
  <si>
    <t>14605448</t>
  </si>
  <si>
    <t>167</t>
  </si>
  <si>
    <t>14605420</t>
  </si>
  <si>
    <t>168</t>
  </si>
  <si>
    <t>Кущинское</t>
  </si>
  <si>
    <t>14605492</t>
  </si>
  <si>
    <t>169</t>
  </si>
  <si>
    <t>Луценковское</t>
  </si>
  <si>
    <t>14605464</t>
  </si>
  <si>
    <t>170</t>
  </si>
  <si>
    <t>Матреногезовское</t>
  </si>
  <si>
    <t>14605468</t>
  </si>
  <si>
    <t>171</t>
  </si>
  <si>
    <t>Меняйловское</t>
  </si>
  <si>
    <t>14605472</t>
  </si>
  <si>
    <t>172</t>
  </si>
  <si>
    <t>173</t>
  </si>
  <si>
    <t>Мухоудеровское</t>
  </si>
  <si>
    <t>14605476</t>
  </si>
  <si>
    <t>174</t>
  </si>
  <si>
    <t>Подсередненское</t>
  </si>
  <si>
    <t>14605485</t>
  </si>
  <si>
    <t>175</t>
  </si>
  <si>
    <t>Репенское</t>
  </si>
  <si>
    <t>14605487</t>
  </si>
  <si>
    <t>176</t>
  </si>
  <si>
    <t>Советское</t>
  </si>
  <si>
    <t>14605490</t>
  </si>
  <si>
    <t>177</t>
  </si>
  <si>
    <t>Хлевищенское</t>
  </si>
  <si>
    <t>14605494</t>
  </si>
  <si>
    <t>178</t>
  </si>
  <si>
    <t>Хрещатовское</t>
  </si>
  <si>
    <t>14605493</t>
  </si>
  <si>
    <t>179</t>
  </si>
  <si>
    <t>город Алексеевка</t>
  </si>
  <si>
    <t>14605101</t>
  </si>
  <si>
    <t>180</t>
  </si>
  <si>
    <t>Муниципальный район Город Валуйки и Валуйский район</t>
  </si>
  <si>
    <t>14620000</t>
  </si>
  <si>
    <t>Бирючанское</t>
  </si>
  <si>
    <t>14620404</t>
  </si>
  <si>
    <t>181</t>
  </si>
  <si>
    <t>Борчанское</t>
  </si>
  <si>
    <t>14620408</t>
  </si>
  <si>
    <t>182</t>
  </si>
  <si>
    <t>Герасимовское</t>
  </si>
  <si>
    <t>14620416</t>
  </si>
  <si>
    <t>183</t>
  </si>
  <si>
    <t>Двулученское</t>
  </si>
  <si>
    <t>14620420</t>
  </si>
  <si>
    <t>184</t>
  </si>
  <si>
    <t>Казинское</t>
  </si>
  <si>
    <t>14620424</t>
  </si>
  <si>
    <t>185</t>
  </si>
  <si>
    <t>Колосковское</t>
  </si>
  <si>
    <t>14620436</t>
  </si>
  <si>
    <t>186</t>
  </si>
  <si>
    <t>Кукуевское</t>
  </si>
  <si>
    <t>14620432</t>
  </si>
  <si>
    <t>187</t>
  </si>
  <si>
    <t>Мандровское</t>
  </si>
  <si>
    <t>14620440</t>
  </si>
  <si>
    <t>188</t>
  </si>
  <si>
    <t>189</t>
  </si>
  <si>
    <t>Насоновское</t>
  </si>
  <si>
    <t>14620444</t>
  </si>
  <si>
    <t>190</t>
  </si>
  <si>
    <t>Принцевское</t>
  </si>
  <si>
    <t>14620452</t>
  </si>
  <si>
    <t>191</t>
  </si>
  <si>
    <t>Рождественское</t>
  </si>
  <si>
    <t>14620456</t>
  </si>
  <si>
    <t>192</t>
  </si>
  <si>
    <t>Тимоновское</t>
  </si>
  <si>
    <t>14620464</t>
  </si>
  <si>
    <t>193</t>
  </si>
  <si>
    <t>Шелаевское</t>
  </si>
  <si>
    <t>14620476</t>
  </si>
  <si>
    <t>194</t>
  </si>
  <si>
    <t>14620480</t>
  </si>
  <si>
    <t>195</t>
  </si>
  <si>
    <t>город Валуйки</t>
  </si>
  <si>
    <t>14620101</t>
  </si>
  <si>
    <t>196</t>
  </si>
  <si>
    <t>поселок Уразово</t>
  </si>
  <si>
    <t>14620160</t>
  </si>
  <si>
    <t>197</t>
  </si>
  <si>
    <t>Муниципальный район Шебекинский район и город Шебекино</t>
  </si>
  <si>
    <t>14656000</t>
  </si>
  <si>
    <t>Белоколодезянское</t>
  </si>
  <si>
    <t>14656408</t>
  </si>
  <si>
    <t>198</t>
  </si>
  <si>
    <t>14656412</t>
  </si>
  <si>
    <t>199</t>
  </si>
  <si>
    <t>Бершаковское</t>
  </si>
  <si>
    <t>14656416</t>
  </si>
  <si>
    <t>200</t>
  </si>
  <si>
    <t>Большегородищенское</t>
  </si>
  <si>
    <t>14656420</t>
  </si>
  <si>
    <t>201</t>
  </si>
  <si>
    <t>Большетроицкое</t>
  </si>
  <si>
    <t>14656424</t>
  </si>
  <si>
    <t>202</t>
  </si>
  <si>
    <t>14656436</t>
  </si>
  <si>
    <t>203</t>
  </si>
  <si>
    <t>14656440</t>
  </si>
  <si>
    <t>204</t>
  </si>
  <si>
    <t>Купинское</t>
  </si>
  <si>
    <t>14656456</t>
  </si>
  <si>
    <t>205</t>
  </si>
  <si>
    <t>Максимовское</t>
  </si>
  <si>
    <t>14656460</t>
  </si>
  <si>
    <t>206</t>
  </si>
  <si>
    <t>Масловопристанское</t>
  </si>
  <si>
    <t>14656462</t>
  </si>
  <si>
    <t>207</t>
  </si>
  <si>
    <t>208</t>
  </si>
  <si>
    <t>Муромское</t>
  </si>
  <si>
    <t>14656472</t>
  </si>
  <si>
    <t>209</t>
  </si>
  <si>
    <t>Новотаволжанское</t>
  </si>
  <si>
    <t>14656480</t>
  </si>
  <si>
    <t>210</t>
  </si>
  <si>
    <t>Первоцепляевское</t>
  </si>
  <si>
    <t>14656484</t>
  </si>
  <si>
    <t>211</t>
  </si>
  <si>
    <t>Чураевское</t>
  </si>
  <si>
    <t>14656496</t>
  </si>
  <si>
    <t>212</t>
  </si>
  <si>
    <t>город Шебекино</t>
  </si>
  <si>
    <t>14656101</t>
  </si>
  <si>
    <t>213</t>
  </si>
  <si>
    <t>Новооскольский городской округ</t>
  </si>
  <si>
    <t>14735000</t>
  </si>
  <si>
    <t>214</t>
  </si>
  <si>
    <t>Новооскольский район</t>
  </si>
  <si>
    <t>14644000</t>
  </si>
  <si>
    <t>14644404</t>
  </si>
  <si>
    <t>215</t>
  </si>
  <si>
    <t>Богородское</t>
  </si>
  <si>
    <t>14644408</t>
  </si>
  <si>
    <t>216</t>
  </si>
  <si>
    <t>Большеивановское</t>
  </si>
  <si>
    <t>14644412</t>
  </si>
  <si>
    <t>217</t>
  </si>
  <si>
    <t>Боровогриневское</t>
  </si>
  <si>
    <t>14644416</t>
  </si>
  <si>
    <t>218</t>
  </si>
  <si>
    <t>Васильдольское</t>
  </si>
  <si>
    <t>14644420</t>
  </si>
  <si>
    <t>219</t>
  </si>
  <si>
    <t>Великомихайловское</t>
  </si>
  <si>
    <t>14644424</t>
  </si>
  <si>
    <t>220</t>
  </si>
  <si>
    <t>Глинновское</t>
  </si>
  <si>
    <t>14644428</t>
  </si>
  <si>
    <t>221</t>
  </si>
  <si>
    <t>14644434</t>
  </si>
  <si>
    <t>222</t>
  </si>
  <si>
    <t>Ниновское</t>
  </si>
  <si>
    <t>14644436</t>
  </si>
  <si>
    <t>223</t>
  </si>
  <si>
    <t>Новобезгинское</t>
  </si>
  <si>
    <t>14644440</t>
  </si>
  <si>
    <t>224</t>
  </si>
  <si>
    <t>225</t>
  </si>
  <si>
    <t>Оскольское</t>
  </si>
  <si>
    <t>14644444</t>
  </si>
  <si>
    <t>226</t>
  </si>
  <si>
    <t>Солонец-Полянское</t>
  </si>
  <si>
    <t>14644460</t>
  </si>
  <si>
    <t>227</t>
  </si>
  <si>
    <t>Старобезгинское</t>
  </si>
  <si>
    <t>14644464</t>
  </si>
  <si>
    <t>228</t>
  </si>
  <si>
    <t>Тростенецкое</t>
  </si>
  <si>
    <t>14644468</t>
  </si>
  <si>
    <t>229</t>
  </si>
  <si>
    <t>Шараповское</t>
  </si>
  <si>
    <t>14644472</t>
  </si>
  <si>
    <t>230</t>
  </si>
  <si>
    <t>Яковлевское</t>
  </si>
  <si>
    <t>14644476</t>
  </si>
  <si>
    <t>231</t>
  </si>
  <si>
    <t>Ярское</t>
  </si>
  <si>
    <t>14644480</t>
  </si>
  <si>
    <t>232</t>
  </si>
  <si>
    <t>город Новый Оскол</t>
  </si>
  <si>
    <t>14644101</t>
  </si>
  <si>
    <t>233</t>
  </si>
  <si>
    <t>Прохоровский район</t>
  </si>
  <si>
    <t>14646000</t>
  </si>
  <si>
    <t>Беленихинское</t>
  </si>
  <si>
    <t>14646404</t>
  </si>
  <si>
    <t>234</t>
  </si>
  <si>
    <t>Береговское</t>
  </si>
  <si>
    <t>14646408</t>
  </si>
  <si>
    <t>235</t>
  </si>
  <si>
    <t>14646412</t>
  </si>
  <si>
    <t>236</t>
  </si>
  <si>
    <t>Журавское</t>
  </si>
  <si>
    <t>14646420</t>
  </si>
  <si>
    <t>237</t>
  </si>
  <si>
    <t>14646428</t>
  </si>
  <si>
    <t>238</t>
  </si>
  <si>
    <t>Кривошеевское</t>
  </si>
  <si>
    <t>14646432</t>
  </si>
  <si>
    <t>239</t>
  </si>
  <si>
    <t>Лучковское</t>
  </si>
  <si>
    <t>14646436</t>
  </si>
  <si>
    <t>240</t>
  </si>
  <si>
    <t>Маломаяченское</t>
  </si>
  <si>
    <t>14646416</t>
  </si>
  <si>
    <t>241</t>
  </si>
  <si>
    <t>Петровское</t>
  </si>
  <si>
    <t>14646440</t>
  </si>
  <si>
    <t>242</t>
  </si>
  <si>
    <t>14646444</t>
  </si>
  <si>
    <t>243</t>
  </si>
  <si>
    <t>Подолешенское</t>
  </si>
  <si>
    <t>14646448</t>
  </si>
  <si>
    <t>244</t>
  </si>
  <si>
    <t>Прелестненское</t>
  </si>
  <si>
    <t>14646452</t>
  </si>
  <si>
    <t>245</t>
  </si>
  <si>
    <t>Призначенское</t>
  </si>
  <si>
    <t>14646456</t>
  </si>
  <si>
    <t>246</t>
  </si>
  <si>
    <t>247</t>
  </si>
  <si>
    <t>Радьковское</t>
  </si>
  <si>
    <t>14646460</t>
  </si>
  <si>
    <t>248</t>
  </si>
  <si>
    <t>Ржавецкое</t>
  </si>
  <si>
    <t>14646464</t>
  </si>
  <si>
    <t>249</t>
  </si>
  <si>
    <t>Холоднянское</t>
  </si>
  <si>
    <t>14646468</t>
  </si>
  <si>
    <t>250</t>
  </si>
  <si>
    <t>Шаховское</t>
  </si>
  <si>
    <t>14646472</t>
  </si>
  <si>
    <t>251</t>
  </si>
  <si>
    <t>поселок Прохоровка</t>
  </si>
  <si>
    <t>14646151</t>
  </si>
  <si>
    <t>252</t>
  </si>
  <si>
    <t>Ракитянский муниципальный район</t>
  </si>
  <si>
    <t>14648000</t>
  </si>
  <si>
    <t>Бобравское</t>
  </si>
  <si>
    <t>14648404</t>
  </si>
  <si>
    <t>253</t>
  </si>
  <si>
    <t>Введено-Готнянское</t>
  </si>
  <si>
    <t>14648410</t>
  </si>
  <si>
    <t>254</t>
  </si>
  <si>
    <t>Венгеровское</t>
  </si>
  <si>
    <t>14648412</t>
  </si>
  <si>
    <t>255</t>
  </si>
  <si>
    <t>Вышнепенское</t>
  </si>
  <si>
    <t>14648414</t>
  </si>
  <si>
    <t>256</t>
  </si>
  <si>
    <t>Дмитриевское</t>
  </si>
  <si>
    <t>14648428</t>
  </si>
  <si>
    <t>257</t>
  </si>
  <si>
    <t>Зинаидинское</t>
  </si>
  <si>
    <t>14648432</t>
  </si>
  <si>
    <t>258</t>
  </si>
  <si>
    <t>Илек-Кошарское</t>
  </si>
  <si>
    <t>14648436</t>
  </si>
  <si>
    <t>259</t>
  </si>
  <si>
    <t>Нижнепенское</t>
  </si>
  <si>
    <t>14648448</t>
  </si>
  <si>
    <t>260</t>
  </si>
  <si>
    <t>261</t>
  </si>
  <si>
    <t>Солдатское</t>
  </si>
  <si>
    <t>14648472</t>
  </si>
  <si>
    <t>262</t>
  </si>
  <si>
    <t>Трефиловское</t>
  </si>
  <si>
    <t>14648480</t>
  </si>
  <si>
    <t>263</t>
  </si>
  <si>
    <t>Центральное</t>
  </si>
  <si>
    <t>14648471</t>
  </si>
  <si>
    <t>264</t>
  </si>
  <si>
    <t>поселок Пролетарский</t>
  </si>
  <si>
    <t>14648170</t>
  </si>
  <si>
    <t>265</t>
  </si>
  <si>
    <t>поселок Ракитное</t>
  </si>
  <si>
    <t>14648151</t>
  </si>
  <si>
    <t>266</t>
  </si>
  <si>
    <t>Ровеньский район</t>
  </si>
  <si>
    <t>14650000</t>
  </si>
  <si>
    <t>Айдарское</t>
  </si>
  <si>
    <t>14650404</t>
  </si>
  <si>
    <t>267</t>
  </si>
  <si>
    <t>Верхнесеребрянское</t>
  </si>
  <si>
    <t>14650408</t>
  </si>
  <si>
    <t>268</t>
  </si>
  <si>
    <t>Ладомировское</t>
  </si>
  <si>
    <t>14650412</t>
  </si>
  <si>
    <t>269</t>
  </si>
  <si>
    <t>Лознянское</t>
  </si>
  <si>
    <t>14650416</t>
  </si>
  <si>
    <t>270</t>
  </si>
  <si>
    <t>Лозовское</t>
  </si>
  <si>
    <t>14650420</t>
  </si>
  <si>
    <t>271</t>
  </si>
  <si>
    <t>Наголенское</t>
  </si>
  <si>
    <t>14650424</t>
  </si>
  <si>
    <t>272</t>
  </si>
  <si>
    <t>Нагорьевское</t>
  </si>
  <si>
    <t>14650428</t>
  </si>
  <si>
    <t>273</t>
  </si>
  <si>
    <t>Новоалександровское</t>
  </si>
  <si>
    <t>14650432</t>
  </si>
  <si>
    <t>274</t>
  </si>
  <si>
    <t>Ржевское</t>
  </si>
  <si>
    <t>14650436</t>
  </si>
  <si>
    <t>275</t>
  </si>
  <si>
    <t>276</t>
  </si>
  <si>
    <t>Свистовское</t>
  </si>
  <si>
    <t>14650439</t>
  </si>
  <si>
    <t>277</t>
  </si>
  <si>
    <t>Харьковское</t>
  </si>
  <si>
    <t>14650448</t>
  </si>
  <si>
    <t>278</t>
  </si>
  <si>
    <t>поселок Ровеньки</t>
  </si>
  <si>
    <t>14650151</t>
  </si>
  <si>
    <t>279</t>
  </si>
  <si>
    <t>Чернянский муниципальный район</t>
  </si>
  <si>
    <t>14654000</t>
  </si>
  <si>
    <t>Андреевское</t>
  </si>
  <si>
    <t>14654404</t>
  </si>
  <si>
    <t>281</t>
  </si>
  <si>
    <t>Большанское</t>
  </si>
  <si>
    <t>14654407</t>
  </si>
  <si>
    <t>282</t>
  </si>
  <si>
    <t>Волоконовское</t>
  </si>
  <si>
    <t>14654412</t>
  </si>
  <si>
    <t>283</t>
  </si>
  <si>
    <t>Волотовское</t>
  </si>
  <si>
    <t>14654416</t>
  </si>
  <si>
    <t>284</t>
  </si>
  <si>
    <t>Ездоченское</t>
  </si>
  <si>
    <t>14654424</t>
  </si>
  <si>
    <t>285</t>
  </si>
  <si>
    <t>Кочегуренское</t>
  </si>
  <si>
    <t>14654428</t>
  </si>
  <si>
    <t>286</t>
  </si>
  <si>
    <t>Лозновское</t>
  </si>
  <si>
    <t>14654432</t>
  </si>
  <si>
    <t>287</t>
  </si>
  <si>
    <t>Лубянское</t>
  </si>
  <si>
    <t>14654436</t>
  </si>
  <si>
    <t>288</t>
  </si>
  <si>
    <t>Малотроицкое</t>
  </si>
  <si>
    <t>14654440</t>
  </si>
  <si>
    <t>289</t>
  </si>
  <si>
    <t>Новореченское</t>
  </si>
  <si>
    <t>14654444</t>
  </si>
  <si>
    <t>290</t>
  </si>
  <si>
    <t>Огибнянское</t>
  </si>
  <si>
    <t>14654448</t>
  </si>
  <si>
    <t>291</t>
  </si>
  <si>
    <t>Ольшанское</t>
  </si>
  <si>
    <t>14654452</t>
  </si>
  <si>
    <t>292</t>
  </si>
  <si>
    <t>Орликовское</t>
  </si>
  <si>
    <t>14654456</t>
  </si>
  <si>
    <t>293</t>
  </si>
  <si>
    <t>Прилепенское</t>
  </si>
  <si>
    <t>14654460</t>
  </si>
  <si>
    <t>294</t>
  </si>
  <si>
    <t>Русскохаланское</t>
  </si>
  <si>
    <t>14654464</t>
  </si>
  <si>
    <t>295</t>
  </si>
  <si>
    <t>296</t>
  </si>
  <si>
    <t>поселок Чернянка</t>
  </si>
  <si>
    <t>14654151</t>
  </si>
  <si>
    <t>297</t>
  </si>
  <si>
    <t>Шебекинский городской округ</t>
  </si>
  <si>
    <t>14750000</t>
  </si>
  <si>
    <t>298</t>
  </si>
  <si>
    <t>Яковлевский городской округ</t>
  </si>
  <si>
    <t>14755000</t>
  </si>
  <si>
    <t>299</t>
  </si>
  <si>
    <t>Яковлевский муниципальный район</t>
  </si>
  <si>
    <t>14658000</t>
  </si>
  <si>
    <t>14658404</t>
  </si>
  <si>
    <t>300</t>
  </si>
  <si>
    <t>Бутовское</t>
  </si>
  <si>
    <t>14658408</t>
  </si>
  <si>
    <t>301</t>
  </si>
  <si>
    <t>Быковское</t>
  </si>
  <si>
    <t>14658412</t>
  </si>
  <si>
    <t>302</t>
  </si>
  <si>
    <t>Гостищевское</t>
  </si>
  <si>
    <t>14658416</t>
  </si>
  <si>
    <t>303</t>
  </si>
  <si>
    <t>14658420</t>
  </si>
  <si>
    <t>304</t>
  </si>
  <si>
    <t>Завидовское</t>
  </si>
  <si>
    <t>14658428</t>
  </si>
  <si>
    <t>305</t>
  </si>
  <si>
    <t>Казацкое</t>
  </si>
  <si>
    <t>14658432</t>
  </si>
  <si>
    <t>306</t>
  </si>
  <si>
    <t>Кривцовское</t>
  </si>
  <si>
    <t>14658436</t>
  </si>
  <si>
    <t>307</t>
  </si>
  <si>
    <t>Кустовское</t>
  </si>
  <si>
    <t>14658440</t>
  </si>
  <si>
    <t>308</t>
  </si>
  <si>
    <t>Мощенское</t>
  </si>
  <si>
    <t>14658444</t>
  </si>
  <si>
    <t>309</t>
  </si>
  <si>
    <t>Саженское</t>
  </si>
  <si>
    <t>14658446</t>
  </si>
  <si>
    <t>310</t>
  </si>
  <si>
    <t>14658448</t>
  </si>
  <si>
    <t>311</t>
  </si>
  <si>
    <t>14658456</t>
  </si>
  <si>
    <t>312</t>
  </si>
  <si>
    <t>Терновское</t>
  </si>
  <si>
    <t>14658460</t>
  </si>
  <si>
    <t>313</t>
  </si>
  <si>
    <t>314</t>
  </si>
  <si>
    <t>город Строитель</t>
  </si>
  <si>
    <t>14658101</t>
  </si>
  <si>
    <t>315</t>
  </si>
  <si>
    <t>поселок Томаровка</t>
  </si>
  <si>
    <t>14658160</t>
  </si>
  <si>
    <t>316</t>
  </si>
  <si>
    <t>поселок Яковлево</t>
  </si>
  <si>
    <t>14658170</t>
  </si>
  <si>
    <t>317</t>
  </si>
  <si>
    <t>город Белгород</t>
  </si>
  <si>
    <t>14701000</t>
  </si>
  <si>
    <t>318</t>
  </si>
  <si>
    <t>NUMBER_POINT</t>
  </si>
  <si>
    <t>L_NAME</t>
  </si>
  <si>
    <t>L_START_DATE</t>
  </si>
  <si>
    <t>L_END_DATE</t>
  </si>
  <si>
    <t>Инвестиционная программа № 25/24 от 14.11.2018 ГУП "Белводоканал" в сфере водоснабжения и водоотведения по строительству, реконструкции, модернизации и развитию централизованных систем водоснабжения, водоотведения, очистки сточных вод на 2019-2023 годы</t>
  </si>
  <si>
    <t>01.01.2019</t>
  </si>
  <si>
    <t>31.12.2023</t>
  </si>
  <si>
    <t>Инвестиционная программа № 25/24 от 14.11.2018 ГУП "Белоблводоканал" в сфере водоснабжения и водоотведения по строительству, реконструкции, модернизации и развитию централизованных систем водоснабжения, водоотведения, очистки сточных вод на 2019-2023 годы</t>
  </si>
  <si>
    <t>Инвестиционная программа № 38/16 от 30.12.2019 МУП "Старооскольский водоканал" в сфере водоснабжения и водоотведения по развитию системы водоснабжения и водоотведения, на территории городского округа Старооскольский на 2020-2022 годы</t>
  </si>
  <si>
    <t>01.01.2020</t>
  </si>
  <si>
    <t>31.12.2022</t>
  </si>
  <si>
    <t>Инвестиционная программа Валуйского МУП "Водоканал" по развитию систем водоснабжения и водоотведения на 2018-2022 годы</t>
  </si>
  <si>
    <t>01.01.2018</t>
  </si>
  <si>
    <t>Инвестиционная программа МУП "Водоканал" по развитию систем водоснабжения, водоотведения и очистки сточных вод Губкинского городского округа на 2018-2020 годы</t>
  </si>
  <si>
    <t>31.12.2020</t>
  </si>
  <si>
    <t>Инвестиционная программа МУП "Горводоканал" "Развитие системы водоснабжения и водоотведения МУП "Горводоканал" Алексеевского района и города Алексеевка на 2018-2020 годы</t>
  </si>
  <si>
    <t>Инвестиционная программа от 30.11.2017 МУП "Губкин Сервис" в сфере водоснабжения и водоотведения по развитию централизованных систем водоснабжения, водоотведения, очистки сточных вод, на территории городского округа Губкинский на 2018-2020 годы</t>
  </si>
  <si>
    <t>TER_NAME</t>
  </si>
  <si>
    <t>Территория 1</t>
  </si>
  <si>
    <t>ID_TARIFF_NAME</t>
  </si>
  <si>
    <t>TARIFF_NAME</t>
  </si>
  <si>
    <t>VED_NAME</t>
  </si>
  <si>
    <t>4189671</t>
  </si>
  <si>
    <t>4189672</t>
  </si>
  <si>
    <t>4189673</t>
  </si>
  <si>
    <t>4189674</t>
  </si>
  <si>
    <t>4189675</t>
  </si>
  <si>
    <t>4189676</t>
  </si>
  <si>
    <t>4189677</t>
  </si>
  <si>
    <t>ID</t>
  </si>
  <si>
    <t>LINK_NAME</t>
  </si>
  <si>
    <t>https://portal.eias.ru/Portal/DownloadPage.aspx?type=12&amp;guid=????????-????-????-????-????????????</t>
  </si>
  <si>
    <t>ALL</t>
  </si>
  <si>
    <t>https://eias.fstrf.ru/disclo/get_file?p_guid=????????-????-????-????-????????????</t>
  </si>
  <si>
    <t>Форма</t>
  </si>
  <si>
    <t>Листы</t>
  </si>
  <si>
    <t>optOrganization</t>
  </si>
  <si>
    <t>optROiV</t>
  </si>
  <si>
    <t>optHEAT</t>
  </si>
  <si>
    <t>optCOLDVSNA</t>
  </si>
  <si>
    <t>optVOTV</t>
  </si>
  <si>
    <t>optHOTVSNA</t>
  </si>
  <si>
    <t>optTKO</t>
  </si>
  <si>
    <t>optORG</t>
  </si>
  <si>
    <t>optPRICE</t>
  </si>
  <si>
    <t>optBALANCE</t>
  </si>
  <si>
    <t>optQUARTER</t>
  </si>
  <si>
    <t>optINVEST</t>
  </si>
  <si>
    <t>optTERMS</t>
  </si>
  <si>
    <t>optREQUEST</t>
  </si>
  <si>
    <t>modSave</t>
  </si>
  <si>
    <t>Расчетные листы</t>
  </si>
  <si>
    <t>Скрытые листы</t>
  </si>
  <si>
    <t>Instruction</t>
  </si>
  <si>
    <t>DATA_FORMS</t>
  </si>
  <si>
    <t>modUpdTemplLogger</t>
  </si>
  <si>
    <t>DATA_NPA</t>
  </si>
  <si>
    <t>TITLE</t>
  </si>
  <si>
    <t>TEHSHEET</t>
  </si>
  <si>
    <t>TERRITORY</t>
  </si>
  <si>
    <t>TSH_et_union_hor</t>
  </si>
  <si>
    <t>DIFFERENTIATION</t>
  </si>
  <si>
    <t>modP_T_TERMS</t>
  </si>
  <si>
    <t>DIFFERENTIATION_TARIFF</t>
  </si>
  <si>
    <t>modMainProcedures</t>
  </si>
  <si>
    <t>DIFFERENTIATION_TKO</t>
  </si>
  <si>
    <t>modB_FHD</t>
  </si>
  <si>
    <t>ORG_INFO</t>
  </si>
  <si>
    <t>modB_FHD20</t>
  </si>
  <si>
    <t>ORG_VD</t>
  </si>
  <si>
    <t>modB_KNE</t>
  </si>
  <si>
    <t>ORG_VD_TKO</t>
  </si>
  <si>
    <t>modIP_MAIN</t>
  </si>
  <si>
    <t>ORG_TERRITORY</t>
  </si>
  <si>
    <t>modIP_QRE</t>
  </si>
  <si>
    <t>P_T_TERMS</t>
  </si>
  <si>
    <t>modIP_DETAILED</t>
  </si>
  <si>
    <t>TARIFF_A</t>
  </si>
  <si>
    <t>TSH_et_union_vert</t>
  </si>
  <si>
    <t>TARIFF_B</t>
  </si>
  <si>
    <t>modROIV</t>
  </si>
  <si>
    <t>TARIFF_F</t>
  </si>
  <si>
    <t>modDIFFERENTIATION_TKO</t>
  </si>
  <si>
    <t>TARIFF_C</t>
  </si>
  <si>
    <t>modTARIFF_HEAT</t>
  </si>
  <si>
    <t>TARIFF_E1</t>
  </si>
  <si>
    <t>modTARIFF_COLDVSNA</t>
  </si>
  <si>
    <t>TARIFF_E2</t>
  </si>
  <si>
    <t>modIP_FIN_PLAN</t>
  </si>
  <si>
    <t>TARIFF_D</t>
  </si>
  <si>
    <t>REESTR_IP</t>
  </si>
  <si>
    <t>TARIFF_G</t>
  </si>
  <si>
    <t>modfrmListIP</t>
  </si>
  <si>
    <t>Лист5</t>
  </si>
  <si>
    <t>modfrmActivity</t>
  </si>
  <si>
    <t>Лист6</t>
  </si>
  <si>
    <t>REESTR_DS</t>
  </si>
  <si>
    <t>Лист7</t>
  </si>
  <si>
    <t>REESTR_VED</t>
  </si>
  <si>
    <t>Лист14</t>
  </si>
  <si>
    <t>TSH_REESTR_MO</t>
  </si>
  <si>
    <t>P_PROCEDURE_TC</t>
  </si>
  <si>
    <t>TSH_REESTR_MO_FILTER</t>
  </si>
  <si>
    <t>R_B_Purch</t>
  </si>
  <si>
    <t>REESTR_LINK</t>
  </si>
  <si>
    <t>Q_PH</t>
  </si>
  <si>
    <t>modDIFFERENTIATION_TARIFF</t>
  </si>
  <si>
    <t>Q_TP</t>
  </si>
  <si>
    <t>modDIFFERENTIATION</t>
  </si>
  <si>
    <t>Q_LIMIT</t>
  </si>
  <si>
    <t>modTERRITORY</t>
  </si>
  <si>
    <t>R_Offer</t>
  </si>
  <si>
    <t>modQ_PH</t>
  </si>
  <si>
    <t>TARIFF_A_COLDVSNA</t>
  </si>
  <si>
    <t>modORG_INFO</t>
  </si>
  <si>
    <t>TARIFF_B_COLDVSNA</t>
  </si>
  <si>
    <t>modORG_VD</t>
  </si>
  <si>
    <t>TARIFF_C_COLDVSNA</t>
  </si>
  <si>
    <t>modORG_TERRITORY</t>
  </si>
  <si>
    <t>TARIFF_D_COLDVSNA</t>
  </si>
  <si>
    <t>modfrmSelectTerritory</t>
  </si>
  <si>
    <t>TARIFF_E_COLDVSNA</t>
  </si>
  <si>
    <t>modQ_TP</t>
  </si>
  <si>
    <t>B_FHD</t>
  </si>
  <si>
    <t>modQ_LIMIT</t>
  </si>
  <si>
    <t>B_FHD20</t>
  </si>
  <si>
    <t>modListTempFilter</t>
  </si>
  <si>
    <t>B_FHD_TKO</t>
  </si>
  <si>
    <t>modCheckCyan</t>
  </si>
  <si>
    <t>B_FHD_TKO_TRANS</t>
  </si>
  <si>
    <t>modHTTP</t>
  </si>
  <si>
    <t>B_KNE</t>
  </si>
  <si>
    <t>modfrmRezimChoose</t>
  </si>
  <si>
    <t>IP_MAIN</t>
  </si>
  <si>
    <t>modSheetMain</t>
  </si>
  <si>
    <t>IP_DETAILED</t>
  </si>
  <si>
    <t>REESTR_VT</t>
  </si>
  <si>
    <t>IP_FIN_PLAN</t>
  </si>
  <si>
    <t>modfrmReportMode</t>
  </si>
  <si>
    <t>IP_QRE</t>
  </si>
  <si>
    <t>modfrmReestrObj</t>
  </si>
  <si>
    <t>TARIFF_A_HOTVSNA</t>
  </si>
  <si>
    <t>AllSheetsInThisWorkbook</t>
  </si>
  <si>
    <t>TARIFF_B_HOTVSNA</t>
  </si>
  <si>
    <t>modInstruction</t>
  </si>
  <si>
    <t>TARIFF_C_HOTVSNA</t>
  </si>
  <si>
    <t>modRegion</t>
  </si>
  <si>
    <t>TARIFF_A_VOTV</t>
  </si>
  <si>
    <t>modReestr</t>
  </si>
  <si>
    <t>TARIFF_B_VOTV</t>
  </si>
  <si>
    <t>modfrmReestr</t>
  </si>
  <si>
    <t>TARIFF_C_VOTV</t>
  </si>
  <si>
    <t>modUpdTemplMain</t>
  </si>
  <si>
    <t>ED</t>
  </si>
  <si>
    <t>TSH_REESTR_ORG</t>
  </si>
  <si>
    <t>CHANGE_INFO</t>
  </si>
  <si>
    <t>modClassifierValidate</t>
  </si>
  <si>
    <t>ListComm</t>
  </si>
  <si>
    <t>modCHECK</t>
  </si>
  <si>
    <t>CHECK</t>
  </si>
  <si>
    <t>modHyp</t>
  </si>
  <si>
    <t>ROIV_INFO</t>
  </si>
  <si>
    <t>modServiceModule</t>
  </si>
  <si>
    <t>ROIV_ORG</t>
  </si>
  <si>
    <t>modInfo</t>
  </si>
  <si>
    <t>ROIV_CASE</t>
  </si>
  <si>
    <t>modTITLE</t>
  </si>
  <si>
    <t>ROIV_OTV</t>
  </si>
  <si>
    <t>modList02</t>
  </si>
  <si>
    <t>Лист1</t>
  </si>
  <si>
    <t>modED</t>
  </si>
  <si>
    <t>modList05</t>
  </si>
  <si>
    <t>modList06</t>
  </si>
  <si>
    <t>modCHANGE_INFO</t>
  </si>
  <si>
    <t>modList11</t>
  </si>
  <si>
    <t>modList12</t>
  </si>
  <si>
    <t>modfrmDateChoose</t>
  </si>
  <si>
    <t>modComm</t>
  </si>
  <si>
    <t>modThisWorkbook</t>
  </si>
  <si>
    <t>modfrmReestrMR</t>
  </si>
  <si>
    <t>modfrmCheckUpdates</t>
  </si>
  <si>
    <t>Титульный</t>
  </si>
  <si>
    <t>Для выбора того или иного источника публикации выполните двойной щелчок по синей ячейке напротив соответствующего источника._x000D_
ВНИМАНИЕ! Если Вы снимаете галочку с пункта, то будут скрыты и очищены соответствующие строки на листе "Форма 1.0.2"!_x000D_
_x000D_
Опубликование перечисленных в шаблоне показателей на сайте организации в сети Интернет и в печатных изданиях не обязательно, если данный шаблон предоставлен по системе ЕИАС (региональный сегмент).</t>
  </si>
  <si>
    <t>Обязательное опубликование на официальном сайте органа исполнительной власти субъекта Российской Федерации в области государственного регулирования цен (тарифов), и (или) на официальном сайте органа местного самоуправления поселения или городского округа в случае их наделения в соответствии с законом субъекта Российской Федерации полномочиями по государственному регулированию цен (тарифов)предусмотрено пунктом 3 (а) постановления Правительства №6 от 17.01.2013г.</t>
  </si>
  <si>
    <t>Задайте период регулирования, выбрав даты начала и окончания периода регулирования из календаря (иконка справа от указанной ячейки), либо введите дату непосредственно в ячейку в формате - 'ДД.ММ.ГГГГ'</t>
  </si>
  <si>
    <t>Шаблон заполняется раздельно по каждому виду тарифа</t>
  </si>
  <si>
    <t>В зависимости от указанного вида деятельности будут доступны для заполнения поля 'Производство', 'Передача' и 'Сбыт'</t>
  </si>
  <si>
    <t>Если выбрано 'да', на листах с разбивкой по потребителям доступны для заполнения графы для двухставочного ставочного тарифа по группам потребителей</t>
  </si>
  <si>
    <t>Если выбрано 'да', значения тарифов для групп потребителей на листах с разбивкой по потребителям заполнятся автоматически значениями первой группы</t>
  </si>
  <si>
    <t>Если выбрано значение «да» - в шаблоне будет сформирован лист «Форма 1.0.2» для уведомления органа регулирования о публикации информации в печатных изданиях</t>
  </si>
  <si>
    <t xml:space="preserve">По умолчанию установлено значение «первичное раскрытие информации» Это означает, что информация раскрывается в соответствии с установленными сроком и периодичностью. В случае если в уже отправленном шаблоне обнаружена ошибка или произошло изменение информации, исправленный шаблон необходимо отправить с типом отчета «изменения в раскрытой ранее информации». </t>
  </si>
  <si>
    <t>Укажите является ли данное юридическое лицо подразделением(филиалом) другой организации</t>
  </si>
  <si>
    <t>Ссылки на публикации</t>
  </si>
  <si>
    <t>Вводите адрес сайта, не нарушая цвет ячейки /если копируете гиперссылку из браузера, то выполните двойной щелчок по ячейке и только после этого можете вставить скопированный элемент/</t>
  </si>
  <si>
    <t>Обосновывающие материалы необходимо загружать с помощью "ЕИАС Мониторинг". Ссылка на инструкцию по загрузке обосновывающих материалов расположена на листе 'Инструкция' в п.'Методология заполнения'._x000D_
_x000D_
Ввводите ссылку, не нарушая цвет ячейки /если копируете гиперссылку из браузера, то выполните двойной щелчок по ячейке и только после этого можете вставить скопированный элемент/.</t>
  </si>
  <si>
    <t>Если для какого-либо пункта графы 'Наименование источника (сайта или печатного издания)' информация не раскрывалась, то в соответствующем поле укажите - 'не раскрывалась'</t>
  </si>
  <si>
    <t>Список МО</t>
  </si>
  <si>
    <t>В случае, если тариф не дифференцируется по системам теплоснабжения, перечислите все муниципальные районы, в которых организация осуществляет услуги теплоснабжения и сфере оказания услуг по передаче тепловой энергии</t>
  </si>
  <si>
    <t>В случае, если тариф не дифференцируется по системам теплоснабжения, перечислите все муниципальные образования, в которых организация осуществляет услуги теплоснабжения и сфере оказания услуг по передаче тепловой энергии</t>
  </si>
  <si>
    <t>Признак дифференциации тарифа</t>
  </si>
  <si>
    <t>В случае, если тариф не дифференцируется по системам теплоснабжения, укажите "1"._x000D_
Введите значение от 1 до 100, чтобы указать очередной условный порядковый номер системы теплоснабжения</t>
  </si>
  <si>
    <t>Стандарты</t>
  </si>
  <si>
    <t>В качестве примечания Вы можете указать единицу измерения</t>
  </si>
  <si>
    <t>Для корректного формирования Таблицы 25 Формы 1.10 необходимо задать разбивку по диаметрам и способу прокладки тепловых сетей</t>
  </si>
  <si>
    <t>Перечень тарифов</t>
  </si>
  <si>
    <t>Укажите «Да» в поле «Да/Нет», если дифференциация используется._x000D_
В поле «Описание» указывается наименование территории действия тарифа при наличии дифференциации тарифа по территориальному признаку._x000D_
В случае дифференциации тарифов по территориальному признаку информация по ним указывается в отдельных строках.</t>
  </si>
  <si>
    <t>Признаки дифференциации указываются в соответствии с п.6 ст.32 ФЗ РФ от 07.12.2011 №416-ФЗ</t>
  </si>
  <si>
    <t>Укажите «Да» в поле «Да/Нет», если дифференциация используется. В поле «Описание» укажите название ЦС ГВС или любое другое описание</t>
  </si>
  <si>
    <t>Территории</t>
  </si>
  <si>
    <t>Наименование территории действия тарифа для целей идентификации</t>
  </si>
  <si>
    <t>Муниципальные районы и муниципальные образования, на территории которых действует тариф</t>
  </si>
  <si>
    <t>Инструкция</t>
  </si>
  <si>
    <t>Нет доступных обновлений, версия отчёта актуальна</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</si>
</sst>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68" formatCode="000000"/>
    <numFmt numFmtId="169" formatCode="#,##0.000"/>
    <numFmt numFmtId="170" formatCode="#,##0.0000"/>
    <numFmt numFmtId="171" formatCode="dd\.mm\.yyyy"/>
  </numFmts>
  <fonts count="105">
    <font>
      <sz val="9"/>
      <color rgb="FF000000"/>
      <name val="Tahoma"/>
    </font>
    <font>
      <sz val="11"/>
      <color theme="1"/>
      <name val="Calibri"/>
      <scheme val="minor"/>
    </font>
    <font>
      <sz val="9"/>
      <name val="Tahoma"/>
    </font>
    <font>
      <sz val="9"/>
      <color rgb="FFFFFFFF"/>
      <name val="Tahoma"/>
    </font>
    <font>
      <sz val="9"/>
      <color rgb="FFCC0000"/>
      <name val="Tahoma"/>
    </font>
    <font>
      <sz val="16"/>
      <name val="Tahoma"/>
    </font>
    <font>
      <sz val="16"/>
      <color rgb="FFFFFFFF"/>
      <name val="Tahoma"/>
    </font>
    <font>
      <sz val="9"/>
      <color rgb="FFBCBCBC"/>
      <name val="Tahoma"/>
    </font>
    <font>
      <sz val="11"/>
      <color rgb="FFBCBCBC"/>
      <name val="Wingdings 2"/>
    </font>
    <font>
      <b/>
      <u/>
      <sz val="9"/>
      <name val="Tahoma"/>
    </font>
    <font>
      <sz val="10"/>
      <name val="Arial Cyr"/>
    </font>
    <font>
      <sz val="11"/>
      <name val="Webdings2"/>
    </font>
    <font>
      <sz val="9"/>
      <color rgb="FF000080"/>
      <name val="Tahoma"/>
    </font>
    <font>
      <b/>
      <sz val="11"/>
      <color rgb="FF000000"/>
      <name val="Calibri"/>
    </font>
    <font>
      <sz val="11"/>
      <name val="Wingdings 2"/>
    </font>
    <font>
      <b/>
      <sz val="9"/>
      <color rgb="FFFFFFFF"/>
      <name val="Tahoma"/>
    </font>
    <font>
      <b/>
      <u/>
      <sz val="9"/>
      <color rgb="FF000080"/>
      <name val="Tahoma"/>
    </font>
    <font>
      <sz val="8"/>
      <name val="Tahoma"/>
    </font>
    <font>
      <sz val="10"/>
      <name val="Tahoma"/>
    </font>
    <font>
      <sz val="9"/>
      <color theme="0"/>
      <name val="Tahoma"/>
    </font>
    <font>
      <sz val="1"/>
      <color theme="0"/>
      <name val="Tahoma"/>
    </font>
    <font>
      <b/>
      <sz val="1"/>
      <color theme="0"/>
      <name val="Calibri"/>
    </font>
    <font>
      <b/>
      <sz val="9"/>
      <name val="Tahoma"/>
    </font>
    <font>
      <sz val="8"/>
      <color rgb="FFBCBCBC"/>
      <name val="Tahoma"/>
    </font>
    <font>
      <sz val="12"/>
      <color rgb="FF000000"/>
      <name val="Tahoma"/>
    </font>
    <font>
      <sz val="11"/>
      <color rgb="FF000000"/>
      <name val="Calibri"/>
    </font>
    <font>
      <u/>
      <sz val="9"/>
      <color rgb="FF333399"/>
      <name val="Tahoma"/>
    </font>
    <font>
      <sz val="9"/>
      <color rgb="FFFF0000"/>
      <name val="Tahoma"/>
    </font>
    <font>
      <sz val="5"/>
      <color rgb="FFFF0000"/>
      <name val="Tahoma"/>
    </font>
    <font>
      <sz val="11"/>
      <color theme="0"/>
      <name val="Wingdings 2"/>
    </font>
    <font>
      <sz val="5"/>
      <color theme="0"/>
      <name val="Tahoma"/>
    </font>
    <font>
      <sz val="3"/>
      <color rgb="FFFFFFFF"/>
      <name val="Tahoma"/>
    </font>
    <font>
      <sz val="3"/>
      <color rgb="FFCC0000"/>
      <name val="Tahoma"/>
    </font>
    <font>
      <sz val="3"/>
      <name val="Tahoma"/>
    </font>
    <font>
      <sz val="3"/>
      <color rgb="FF000000"/>
      <name val="Tahoma"/>
    </font>
    <font>
      <sz val="3"/>
      <color rgb="FF993300"/>
      <name val="Tahoma"/>
    </font>
    <font>
      <sz val="1"/>
      <color rgb="FFFFFFFF"/>
      <name val="Tahoma"/>
    </font>
    <font>
      <sz val="18"/>
      <name val="Tahoma"/>
    </font>
    <font>
      <sz val="18"/>
      <color rgb="FF000000"/>
      <name val="Tahoma"/>
    </font>
    <font>
      <sz val="11"/>
      <color rgb="FF000000"/>
      <name val="Tahoma"/>
    </font>
    <font>
      <sz val="1"/>
      <color rgb="FF000000"/>
      <name val="Tahoma"/>
    </font>
    <font>
      <sz val="15"/>
      <color rgb="FF000000"/>
      <name val="Tahoma"/>
    </font>
    <font>
      <sz val="11"/>
      <color theme="0"/>
      <name val="Webdings2"/>
    </font>
    <font>
      <b/>
      <sz val="9"/>
      <color rgb="FF000080"/>
      <name val="Tahoma"/>
    </font>
    <font>
      <u/>
      <sz val="1"/>
      <color rgb="FF333399"/>
      <name val="Tahoma"/>
    </font>
    <font>
      <sz val="15"/>
      <name val="Tahoma"/>
    </font>
    <font>
      <sz val="1"/>
      <name val="Tahoma"/>
    </font>
    <font>
      <sz val="12"/>
      <color theme="0"/>
      <name val="Tahoma"/>
    </font>
    <font>
      <sz val="9"/>
      <color theme="1"/>
      <name val="Tahoma"/>
    </font>
    <font>
      <sz val="9"/>
      <color rgb="FF0066CC"/>
      <name val="Tahoma"/>
    </font>
    <font>
      <b/>
      <sz val="10"/>
      <color theme="1"/>
      <name val="Tahoma"/>
    </font>
    <font>
      <sz val="10"/>
      <color theme="1"/>
      <name val="Tahoma"/>
    </font>
    <font>
      <sz val="3"/>
      <color rgb="FFBCBCBC"/>
      <name val="Tahoma"/>
    </font>
    <font>
      <sz val="1"/>
      <color rgb="FFBCBCBC"/>
      <name val="Tahoma"/>
    </font>
    <font>
      <sz val="12"/>
      <name val="Marlett"/>
    </font>
    <font>
      <sz val="9"/>
      <color rgb="FFBCBCBC"/>
      <name val="Wingdings 2"/>
    </font>
    <font>
      <sz val="12"/>
      <name val="Tahoma"/>
    </font>
    <font>
      <sz val="15"/>
      <color theme="0"/>
      <name val="Tahoma"/>
    </font>
    <font>
      <sz val="1"/>
      <color rgb="FFFF0000"/>
      <name val="Tahoma"/>
    </font>
    <font>
      <b/>
      <sz val="11"/>
      <color theme="0"/>
      <name val="Calibri"/>
    </font>
    <font>
      <sz val="11"/>
      <color theme="0"/>
      <name val="Tahoma"/>
    </font>
    <font>
      <sz val="3"/>
      <color theme="0"/>
      <name val="Tahoma"/>
    </font>
    <font>
      <b/>
      <sz val="3"/>
      <name val="Tahoma"/>
    </font>
    <font>
      <b/>
      <sz val="9"/>
      <color rgb="FF0070C0"/>
      <name val="Tahoma"/>
    </font>
    <font>
      <u/>
      <sz val="9"/>
      <color rgb="FF000080"/>
      <name val="Tahoma"/>
    </font>
    <font>
      <sz val="7"/>
      <name val="Tahoma"/>
    </font>
    <font>
      <sz val="7"/>
      <color rgb="FFFFFFFF"/>
      <name val="Tahoma"/>
    </font>
    <font>
      <sz val="7"/>
      <color theme="0" tint="-0.499984740745262"/>
      <name val="Tahoma"/>
    </font>
    <font>
      <sz val="8"/>
      <color theme="0"/>
      <name val="Tahoma"/>
    </font>
    <font>
      <sz val="7"/>
      <color rgb="FF000000"/>
      <name val="Tahoma"/>
    </font>
    <font>
      <b/>
      <sz val="9"/>
      <color theme="0"/>
      <name val="Tahoma"/>
    </font>
    <font>
      <b/>
      <sz val="1"/>
      <color theme="0"/>
      <name val="Tahoma"/>
    </font>
    <font>
      <sz val="19"/>
      <color theme="0"/>
      <name val="Tahoma"/>
    </font>
    <font>
      <sz val="8"/>
      <color rgb="FFFFFFFF"/>
      <name val="Tahoma"/>
    </font>
    <font>
      <b/>
      <sz val="1"/>
      <name val="Tahoma"/>
    </font>
    <font>
      <b/>
      <sz val="1"/>
      <color rgb="FF000080"/>
      <name val="Tahoma"/>
    </font>
    <font>
      <b/>
      <sz val="10"/>
      <name val="Tahoma"/>
    </font>
    <font>
      <b/>
      <sz val="9"/>
      <color rgb="FF000000"/>
      <name val="Tahoma"/>
    </font>
    <font>
      <sz val="10"/>
      <color rgb="FF000000"/>
      <name val="Arial"/>
    </font>
    <font>
      <sz val="8"/>
      <color rgb="FF000080"/>
      <name val="Tahoma"/>
    </font>
    <font>
      <sz val="1"/>
      <name val="Webdings2"/>
    </font>
    <font>
      <sz val="1"/>
      <color theme="0"/>
      <name val="Webdings2"/>
    </font>
    <font>
      <b/>
      <sz val="9"/>
      <name val="Calibri"/>
    </font>
    <font>
      <sz val="1"/>
      <color rgb="FF000080"/>
      <name val="Tahoma"/>
    </font>
    <font>
      <sz val="9"/>
      <color theme="0"/>
      <name val="Webdings2"/>
    </font>
    <font>
      <sz val="1"/>
      <color theme="0"/>
      <name val="Wingdings 2"/>
    </font>
    <font>
      <sz val="18"/>
      <color theme="0"/>
      <name val="Tahoma"/>
    </font>
    <font>
      <sz val="9"/>
      <name val="Wingdings 2"/>
    </font>
    <font>
      <sz val="9"/>
      <color rgb="FFFFFFFF"/>
      <name val="Wingdings 2"/>
    </font>
    <font>
      <b/>
      <u/>
      <sz val="11"/>
      <color rgb="FF0000FF"/>
      <name val="Tahoma"/>
    </font>
    <font>
      <sz val="11"/>
      <color rgb="FFFFFFFF"/>
      <name val="Tahoma"/>
    </font>
    <font>
      <u/>
      <sz val="20"/>
      <color rgb="FF003366"/>
      <name val="Tahoma"/>
    </font>
    <font>
      <b/>
      <sz val="10"/>
      <color rgb="FF000000"/>
      <name val="Tahoma"/>
    </font>
    <font>
      <sz val="11"/>
      <color rgb="FF000000"/>
      <name val="Marlett"/>
    </font>
    <font>
      <sz val="10"/>
      <color rgb="FF000000"/>
      <name val="Tahoma"/>
    </font>
    <font>
      <sz val="14"/>
      <color rgb="FFBCBCBC"/>
      <name val="Calibri"/>
    </font>
    <font>
      <sz val="9"/>
      <color rgb="FF333399"/>
      <name val="Tahoma"/>
    </font>
    <font>
      <b/>
      <sz val="8"/>
      <color rgb="FFC0C0C0"/>
      <name val="Wingdings 2"/>
    </font>
    <font>
      <u/>
      <sz val="9"/>
      <color theme="10"/>
      <name val="Tahoma"/>
    </font>
    <font>
      <b/>
      <sz val="9"/>
      <name val="Tahoma"/>
      <family val="2"/>
      <charset val="204"/>
    </font>
    <font>
      <sz val="9"/>
      <name val="Tahoma"/>
      <family val="2"/>
      <charset val="204"/>
    </font>
    <font>
      <vertAlign val="superscript"/>
      <sz val="10"/>
      <name val="Tahoma"/>
      <family val="2"/>
      <charset val="204"/>
    </font>
    <font>
      <vertAlign val="superscript"/>
      <sz val="9"/>
      <name val="Tahoma"/>
      <family val="2"/>
      <charset val="204"/>
    </font>
    <font>
      <sz val="9"/>
      <color indexed="81"/>
      <name val="Tahoma"/>
      <family val="2"/>
    </font>
    <font>
      <sz val="9"/>
      <color indexed="81"/>
      <name val="Arial"/>
      <family val="2"/>
    </font>
  </fonts>
  <fills count="27">
    <fill>
      <patternFill patternType="none"/>
    </fill>
    <fill>
      <patternFill patternType="gray125"/>
    </fill>
    <fill>
      <patternFill patternType="solid">
        <fgColor theme="5" tint="0.79998168889431442"/>
        <bgColor indexed="65"/>
      </patternFill>
    </fill>
    <fill>
      <patternFill patternType="solid">
        <fgColor theme="7" tint="0.79998168889431442"/>
        <bgColor indexed="65"/>
      </patternFill>
    </fill>
    <fill>
      <patternFill patternType="solid">
        <fgColor theme="6" tint="0.39997558519241921"/>
        <bgColor indexed="65"/>
      </patternFill>
    </fill>
    <fill>
      <patternFill patternType="solid">
        <fgColor rgb="FFD7EAD3"/>
      </patternFill>
    </fill>
    <fill>
      <patternFill patternType="solid">
        <fgColor rgb="FFFFFFFF"/>
      </patternFill>
    </fill>
    <fill>
      <patternFill patternType="solid">
        <fgColor rgb="FFFFFFC0"/>
      </patternFill>
    </fill>
    <fill>
      <patternFill patternType="lightDown">
        <fgColor rgb="FFC0C0C0"/>
      </patternFill>
    </fill>
    <fill>
      <patternFill patternType="solid">
        <fgColor rgb="FFFFB7B7"/>
      </patternFill>
    </fill>
    <fill>
      <patternFill patternType="solid">
        <fgColor rgb="FFE3FAFD"/>
      </patternFill>
    </fill>
    <fill>
      <patternFill patternType="solid">
        <fgColor rgb="FFB7E4FF"/>
      </patternFill>
    </fill>
    <fill>
      <patternFill patternType="solid">
        <fgColor rgb="FFC0C0C0"/>
      </patternFill>
    </fill>
    <fill>
      <patternFill patternType="solid">
        <fgColor theme="0"/>
      </patternFill>
    </fill>
    <fill>
      <patternFill patternType="solid">
        <fgColor rgb="FF8DB4E2"/>
      </patternFill>
    </fill>
    <fill>
      <patternFill patternType="solid">
        <fgColor theme="2" tint="-9.9978637043366805E-2"/>
        <bgColor indexed="65"/>
      </patternFill>
    </fill>
    <fill>
      <patternFill patternType="solid">
        <fgColor theme="9" tint="-0.249977111117893"/>
        <bgColor indexed="65"/>
      </patternFill>
    </fill>
    <fill>
      <patternFill patternType="solid">
        <fgColor theme="0" tint="-0.14999847407452621"/>
        <bgColor indexed="65"/>
      </patternFill>
    </fill>
    <fill>
      <patternFill patternType="solid">
        <fgColor rgb="FF0066CC"/>
      </patternFill>
    </fill>
    <fill>
      <patternFill patternType="solid">
        <fgColor rgb="FFFFFF00"/>
      </patternFill>
    </fill>
    <fill>
      <patternFill patternType="solid">
        <fgColor rgb="FFFF9900"/>
      </patternFill>
    </fill>
    <fill>
      <patternFill patternType="solid">
        <fgColor rgb="FF808000"/>
      </patternFill>
    </fill>
    <fill>
      <patternFill patternType="solid">
        <fgColor rgb="FFCC99FF"/>
      </patternFill>
    </fill>
    <fill>
      <patternFill patternType="lightDown">
        <fgColor rgb="FFB7E4FF"/>
        <bgColor rgb="FFFFFFFF"/>
      </patternFill>
    </fill>
    <fill>
      <patternFill patternType="solid">
        <fgColor rgb="FFD3DBDB"/>
      </patternFill>
    </fill>
    <fill>
      <patternFill patternType="solid">
        <fgColor rgb="FFBCBCBC"/>
      </patternFill>
    </fill>
    <fill>
      <patternFill patternType="solid">
        <fgColor rgb="FFEAEBEE"/>
      </patternFill>
    </fill>
  </fills>
  <borders count="68">
    <border>
      <left/>
      <right/>
      <top/>
      <bottom/>
      <diagonal/>
    </border>
    <border>
      <left style="thin">
        <color rgb="FF000000"/>
      </left>
      <right style="thin">
        <color rgb="FF000000"/>
      </right>
      <top style="thin">
        <color rgb="FF000000"/>
      </top>
      <bottom style="thin">
        <color rgb="FF000000"/>
      </bottom>
      <diagonal/>
    </border>
    <border>
      <left style="thin">
        <color rgb="FFBCBCBC"/>
      </left>
      <right style="thin">
        <color rgb="FFBCBCBC"/>
      </right>
      <top style="thin">
        <color rgb="FFBCBCBC"/>
      </top>
      <bottom style="thin">
        <color rgb="FFBCBCBC"/>
      </bottom>
      <diagonal/>
    </border>
    <border>
      <left style="thin">
        <color rgb="FFC0C0C0"/>
      </left>
      <right style="thin">
        <color rgb="FFC0C0C0"/>
      </right>
      <top style="thin">
        <color rgb="FFC0C0C0"/>
      </top>
      <bottom style="thin">
        <color rgb="FFC0C0C0"/>
      </bottom>
      <diagonal/>
    </border>
    <border>
      <left/>
      <right style="thin">
        <color rgb="FFC0C0C0"/>
      </right>
      <top style="thin">
        <color rgb="FFC0C0C0"/>
      </top>
      <bottom style="thin">
        <color rgb="FFC0C0C0"/>
      </bottom>
      <diagonal/>
    </border>
    <border>
      <left style="thin">
        <color rgb="FFC0C0C0"/>
      </left>
      <right/>
      <top style="thin">
        <color rgb="FFC0C0C0"/>
      </top>
      <bottom style="thin">
        <color rgb="FFC0C0C0"/>
      </bottom>
      <diagonal/>
    </border>
    <border>
      <left/>
      <right/>
      <top style="thin">
        <color rgb="FFC0C0C0"/>
      </top>
      <bottom style="thin">
        <color rgb="FFC0C0C0"/>
      </bottom>
      <diagonal/>
    </border>
    <border>
      <left style="thin">
        <color rgb="FFD3DBDB"/>
      </left>
      <right style="thin">
        <color rgb="FFD3DBDB"/>
      </right>
      <top style="thin">
        <color rgb="FFD3DBDB"/>
      </top>
      <bottom style="thin">
        <color rgb="FFD3DBDB"/>
      </bottom>
      <diagonal/>
    </border>
    <border>
      <left style="thin">
        <color rgb="FFC0C0C0"/>
      </left>
      <right style="thin">
        <color rgb="FFC0C0C0"/>
      </right>
      <top style="thin">
        <color rgb="FFC0C0C0"/>
      </top>
      <bottom/>
      <diagonal/>
    </border>
    <border>
      <left/>
      <right/>
      <top style="dotted">
        <color rgb="FF000000"/>
      </top>
      <bottom style="dotted">
        <color rgb="FF000000"/>
      </bottom>
      <diagonal/>
    </border>
    <border>
      <left/>
      <right/>
      <top style="thin">
        <color rgb="FFC0C0C0"/>
      </top>
      <bottom/>
      <diagonal/>
    </border>
    <border>
      <left/>
      <right style="thin">
        <color rgb="FFC0C0C0"/>
      </right>
      <top style="thin">
        <color rgb="FFC0C0C0"/>
      </top>
      <bottom/>
      <diagonal/>
    </border>
    <border>
      <left/>
      <right/>
      <top style="thin">
        <color rgb="FFD3DBDB"/>
      </top>
      <bottom/>
      <diagonal/>
    </border>
    <border>
      <left style="thin">
        <color rgb="FFC0C0C0"/>
      </left>
      <right/>
      <top/>
      <bottom/>
      <diagonal/>
    </border>
    <border>
      <left style="thin">
        <color rgb="FFC0C0C0"/>
      </left>
      <right style="thin">
        <color rgb="FFC0C0C0"/>
      </right>
      <top/>
      <bottom style="thin">
        <color rgb="FFC0C0C0"/>
      </bottom>
      <diagonal/>
    </border>
    <border>
      <left/>
      <right style="thin">
        <color rgb="FFC0C0C0"/>
      </right>
      <top/>
      <bottom/>
      <diagonal/>
    </border>
    <border>
      <left style="thin">
        <color rgb="FFC0C0C0"/>
      </left>
      <right style="thin">
        <color rgb="FFC0C0C0"/>
      </right>
      <top style="thin">
        <color rgb="FFC0C0C0"/>
      </top>
      <bottom style="thin">
        <color rgb="FFBCBCBC"/>
      </bottom>
      <diagonal/>
    </border>
    <border>
      <left style="hair">
        <color rgb="FFC0C0C0"/>
      </left>
      <right/>
      <top style="hair">
        <color rgb="FFC0C0C0"/>
      </top>
      <bottom style="hair">
        <color rgb="FFC0C0C0"/>
      </bottom>
      <diagonal/>
    </border>
    <border>
      <left style="thin">
        <color rgb="FFC0C0C0"/>
      </left>
      <right/>
      <top/>
      <bottom style="thin">
        <color rgb="FFC0C0C0"/>
      </bottom>
      <diagonal/>
    </border>
    <border>
      <left/>
      <right/>
      <top/>
      <bottom style="thin">
        <color rgb="FFC0C0C0"/>
      </bottom>
      <diagonal/>
    </border>
    <border>
      <left style="thin">
        <color theme="0" tint="-0.249977111117893"/>
      </left>
      <right style="thin">
        <color rgb="FFC0C0C0"/>
      </right>
      <top style="thin">
        <color rgb="FFC0C0C0"/>
      </top>
      <bottom style="thin">
        <color rgb="FFC0C0C0"/>
      </bottom>
      <diagonal/>
    </border>
    <border>
      <left/>
      <right style="thin">
        <color rgb="FFC0C0C0"/>
      </right>
      <top/>
      <bottom style="thin">
        <color rgb="FFC0C0C0"/>
      </bottom>
      <diagonal/>
    </border>
    <border>
      <left style="thin">
        <color theme="0" tint="-0.249977111117893"/>
      </left>
      <right style="thin">
        <color theme="0" tint="-0.249977111117893"/>
      </right>
      <top style="thin">
        <color theme="0" tint="-0.249977111117893"/>
      </top>
      <bottom style="thin">
        <color theme="0" tint="-0.249977111117893"/>
      </bottom>
      <diagonal/>
    </border>
    <border>
      <left style="thin">
        <color theme="0" tint="-0.249977111117893"/>
      </left>
      <right style="thin">
        <color theme="0" tint="-0.249977111117893"/>
      </right>
      <top/>
      <bottom style="thin">
        <color theme="0" tint="-0.249977111117893"/>
      </bottom>
      <diagonal/>
    </border>
    <border>
      <left style="thin">
        <color theme="0" tint="-0.249977111117893"/>
      </left>
      <right/>
      <top style="thin">
        <color theme="0" tint="-0.249977111117893"/>
      </top>
      <bottom style="thin">
        <color theme="0" tint="-0.249977111117893"/>
      </bottom>
      <diagonal/>
    </border>
    <border>
      <left style="thin">
        <color theme="0" tint="-0.249977111117893"/>
      </left>
      <right/>
      <top/>
      <bottom style="thin">
        <color theme="0" tint="-0.249977111117893"/>
      </bottom>
      <diagonal/>
    </border>
    <border>
      <left style="thin">
        <color theme="0" tint="-0.249977111117893"/>
      </left>
      <right style="thin">
        <color theme="0" tint="-0.249977111117893"/>
      </right>
      <top style="thin">
        <color theme="0" tint="-0.249977111117893"/>
      </top>
      <bottom/>
      <diagonal/>
    </border>
    <border>
      <left style="thin">
        <color rgb="FFC0C0C0"/>
      </left>
      <right style="thin">
        <color rgb="FFC0C0C0"/>
      </right>
      <top/>
      <bottom/>
      <diagonal/>
    </border>
    <border>
      <left style="thin">
        <color rgb="FFC0C0C0"/>
      </left>
      <right/>
      <top style="thin">
        <color rgb="FFC0C0C0"/>
      </top>
      <bottom/>
      <diagonal/>
    </border>
    <border>
      <left style="thin">
        <color rgb="FFBCBCBC"/>
      </left>
      <right/>
      <top/>
      <bottom/>
      <diagonal/>
    </border>
    <border>
      <left/>
      <right/>
      <top/>
      <bottom style="thin">
        <color rgb="FFBCBCBC"/>
      </bottom>
      <diagonal/>
    </border>
    <border>
      <left style="thin">
        <color theme="0" tint="-0.249977111117893"/>
      </left>
      <right style="thin">
        <color theme="0" tint="-0.249977111117893"/>
      </right>
      <top/>
      <bottom/>
      <diagonal/>
    </border>
    <border>
      <left/>
      <right/>
      <top style="thin">
        <color rgb="FFBCBCBC"/>
      </top>
      <bottom style="thin">
        <color rgb="FFBCBCBC"/>
      </bottom>
      <diagonal/>
    </border>
    <border>
      <left style="thin">
        <color rgb="FFC0C0C0"/>
      </left>
      <right/>
      <top style="thin">
        <color rgb="FFBCBCBC"/>
      </top>
      <bottom style="thin">
        <color rgb="FFC0C0C0"/>
      </bottom>
      <diagonal/>
    </border>
    <border>
      <left/>
      <right/>
      <top style="thin">
        <color rgb="FFBCBCBC"/>
      </top>
      <bottom style="thin">
        <color rgb="FFC0C0C0"/>
      </bottom>
      <diagonal/>
    </border>
    <border>
      <left/>
      <right/>
      <top style="thin">
        <color rgb="FFD3DBDB"/>
      </top>
      <bottom style="thin">
        <color rgb="FFD3DBDB"/>
      </bottom>
      <diagonal/>
    </border>
    <border>
      <left style="thin">
        <color rgb="FFD3DBDB"/>
      </left>
      <right/>
      <top style="thin">
        <color rgb="FFD3DBDB"/>
      </top>
      <bottom style="thin">
        <color rgb="FFD3DBDB"/>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
      <left style="thin">
        <color rgb="FFBCBCBC"/>
      </left>
      <right/>
      <top style="medium">
        <color rgb="FFBCBCBC"/>
      </top>
      <bottom style="thin">
        <color rgb="FFC0C0C0"/>
      </bottom>
      <diagonal/>
    </border>
    <border>
      <left style="thin">
        <color rgb="FFBCBCBC"/>
      </left>
      <right/>
      <top style="medium">
        <color rgb="FFBCBCBC"/>
      </top>
      <bottom/>
      <diagonal/>
    </border>
    <border>
      <left/>
      <right/>
      <top style="medium">
        <color rgb="FFBCBCBC"/>
      </top>
      <bottom/>
      <diagonal/>
    </border>
    <border>
      <left/>
      <right/>
      <top/>
      <bottom style="medium">
        <color rgb="FFC0C0C0"/>
      </bottom>
      <diagonal/>
    </border>
    <border>
      <left/>
      <right/>
      <top style="thin">
        <color rgb="FFC0C0C0"/>
      </top>
      <bottom style="medium">
        <color rgb="FFC0C0C0"/>
      </bottom>
      <diagonal/>
    </border>
    <border>
      <left/>
      <right style="thin">
        <color theme="0" tint="-0.249977111117893"/>
      </right>
      <top style="thin">
        <color rgb="FFC0C0C0"/>
      </top>
      <bottom style="thin">
        <color rgb="FFC0C0C0"/>
      </bottom>
      <diagonal/>
    </border>
    <border>
      <left/>
      <right style="thin">
        <color theme="0" tint="-0.249977111117893"/>
      </right>
      <top style="thin">
        <color rgb="FFC0C0C0"/>
      </top>
      <bottom style="medium">
        <color rgb="FFC0C0C0"/>
      </bottom>
      <diagonal/>
    </border>
    <border>
      <left/>
      <right/>
      <top style="medium">
        <color rgb="FFBCBCBC"/>
      </top>
      <bottom style="thin">
        <color rgb="FFBCBCBC"/>
      </bottom>
      <diagonal/>
    </border>
    <border>
      <left/>
      <right style="thin">
        <color rgb="FFBCBCBC"/>
      </right>
      <top style="medium">
        <color rgb="FFBCBCBC"/>
      </top>
      <bottom style="thin">
        <color rgb="FFBCBCBC"/>
      </bottom>
      <diagonal/>
    </border>
    <border>
      <left/>
      <right/>
      <top style="medium">
        <color rgb="FFC0C0C0"/>
      </top>
      <bottom style="thin">
        <color rgb="FFC0C0C0"/>
      </bottom>
      <diagonal/>
    </border>
    <border>
      <left style="thin">
        <color rgb="FFC0C0C0"/>
      </left>
      <right/>
      <top style="thin">
        <color rgb="FFC0C0C0"/>
      </top>
      <bottom style="medium">
        <color rgb="FFC0C0C0"/>
      </bottom>
      <diagonal/>
    </border>
    <border>
      <left style="thin">
        <color rgb="FFC0C0C0"/>
      </left>
      <right style="thin">
        <color rgb="FFC0C0C0"/>
      </right>
      <top style="thin">
        <color rgb="FFC0C0C0"/>
      </top>
      <bottom style="medium">
        <color rgb="FFC0C0C0"/>
      </bottom>
      <diagonal/>
    </border>
    <border>
      <left style="thin">
        <color theme="0" tint="-0.249977111117893"/>
      </left>
      <right style="thin">
        <color rgb="FFC0C0C0"/>
      </right>
      <top style="thin">
        <color rgb="FFC0C0C0"/>
      </top>
      <bottom/>
      <diagonal/>
    </border>
    <border>
      <left style="thin">
        <color theme="0" tint="-0.249977111117893"/>
      </left>
      <right/>
      <top style="thin">
        <color rgb="FFC0C0C0"/>
      </top>
      <bottom style="thin">
        <color rgb="FFC0C0C0"/>
      </bottom>
      <diagonal/>
    </border>
    <border>
      <left style="thin">
        <color theme="0" tint="-0.249977111117893"/>
      </left>
      <right/>
      <top style="thin">
        <color rgb="FFC0C0C0"/>
      </top>
      <bottom/>
      <diagonal/>
    </border>
    <border>
      <left style="thin">
        <color rgb="FFBCBCBC"/>
      </left>
      <right/>
      <top style="thin">
        <color rgb="FFBCBCBC"/>
      </top>
      <bottom/>
      <diagonal/>
    </border>
    <border>
      <left/>
      <right/>
      <top style="thin">
        <color rgb="FFBCBCBC"/>
      </top>
      <bottom/>
      <diagonal/>
    </border>
    <border>
      <left style="thin">
        <color rgb="FFBCBCBC"/>
      </left>
      <right/>
      <top/>
      <bottom style="thin">
        <color rgb="FFBCBCBC"/>
      </bottom>
      <diagonal/>
    </border>
    <border>
      <left style="thin">
        <color rgb="FF999999"/>
      </left>
      <right/>
      <top style="thin">
        <color rgb="FF999999"/>
      </top>
      <bottom style="thin">
        <color rgb="FF999999"/>
      </bottom>
      <diagonal/>
    </border>
    <border>
      <left/>
      <right/>
      <top style="thin">
        <color rgb="FF999999"/>
      </top>
      <bottom style="thin">
        <color rgb="FF999999"/>
      </bottom>
      <diagonal/>
    </border>
    <border>
      <left/>
      <right style="thin">
        <color rgb="FF999999"/>
      </right>
      <top style="thin">
        <color rgb="FF999999"/>
      </top>
      <bottom style="thin">
        <color rgb="FF999999"/>
      </bottom>
      <diagonal/>
    </border>
    <border>
      <left/>
      <right style="thin">
        <color rgb="FFBCBCBC"/>
      </right>
      <top/>
      <bottom/>
      <diagonal/>
    </border>
    <border>
      <left/>
      <right style="thin">
        <color rgb="FFBCBCBC"/>
      </right>
      <top style="thin">
        <color rgb="FFBCBCBC"/>
      </top>
      <bottom/>
      <diagonal/>
    </border>
    <border>
      <left style="thin">
        <color rgb="FFC0C0C0"/>
      </left>
      <right style="thin">
        <color rgb="FFC0C0C0"/>
      </right>
      <top style="thin">
        <color rgb="FFBCBCBC"/>
      </top>
      <bottom style="thin">
        <color rgb="FFBCBCBC"/>
      </bottom>
      <diagonal/>
    </border>
    <border>
      <left style="thin">
        <color rgb="FFC0C0C0"/>
      </left>
      <right/>
      <top style="thin">
        <color rgb="FFBCBCBC"/>
      </top>
      <bottom style="thin">
        <color rgb="FFBCBCBC"/>
      </bottom>
      <diagonal/>
    </border>
    <border>
      <left/>
      <right style="thin">
        <color rgb="FFC0C0C0"/>
      </right>
      <top style="thin">
        <color rgb="FFBCBCBC"/>
      </top>
      <bottom style="thin">
        <color rgb="FFBCBCBC"/>
      </bottom>
      <diagonal/>
    </border>
    <border>
      <left style="thin">
        <color rgb="FFBCBCBC"/>
      </left>
      <right/>
      <top style="thin">
        <color rgb="FFBCBCBC"/>
      </top>
      <bottom style="thin">
        <color rgb="FFBCBCBC"/>
      </bottom>
      <diagonal/>
    </border>
    <border>
      <left/>
      <right style="thin">
        <color rgb="FFBCBCBC"/>
      </right>
      <top style="thin">
        <color rgb="FFBCBCBC"/>
      </top>
      <bottom style="thin">
        <color rgb="FFBCBCBC"/>
      </bottom>
      <diagonal/>
    </border>
    <border>
      <left style="thin">
        <color rgb="FFBCBCBC"/>
      </left>
      <right/>
      <top style="thin">
        <color rgb="FFBCBCBC"/>
      </top>
      <bottom style="thin">
        <color rgb="FFC0C0C0"/>
      </bottom>
      <diagonal/>
    </border>
    <border>
      <left/>
      <right style="thin">
        <color rgb="FFC0C0C0"/>
      </right>
      <top style="thin">
        <color rgb="FFC0C0C0"/>
      </top>
      <bottom style="medium">
        <color rgb="FFC0C0C0"/>
      </bottom>
      <diagonal/>
    </border>
  </borders>
  <cellStyleXfs count="1">
    <xf numFmtId="49" fontId="0" fillId="0" borderId="0" applyFill="0" applyBorder="0">
      <alignment vertical="top"/>
    </xf>
  </cellStyleXfs>
  <cellXfs count="2267">
    <xf numFmtId="49" fontId="0" fillId="0" borderId="0" xfId="0" applyNumberFormat="1" applyFont="1">
      <alignment vertical="top"/>
    </xf>
    <xf numFmtId="0" fontId="2" fillId="0" borderId="0" xfId="0" applyNumberFormat="1" applyFont="1" applyAlignment="1">
      <alignment vertical="top" wrapText="1"/>
    </xf>
    <xf numFmtId="49" fontId="2" fillId="5" borderId="1" xfId="0" applyNumberFormat="1" applyFont="1" applyFill="1" applyBorder="1" applyAlignment="1">
      <alignment horizontal="center" vertical="top"/>
    </xf>
    <xf numFmtId="0" fontId="2" fillId="6" borderId="0" xfId="0" applyNumberFormat="1" applyFont="1" applyFill="1" applyAlignment="1"/>
    <xf numFmtId="0" fontId="3" fillId="0" borderId="0" xfId="0" applyNumberFormat="1" applyFont="1" applyAlignment="1">
      <alignment vertical="center" wrapText="1"/>
    </xf>
    <xf numFmtId="0" fontId="2" fillId="6" borderId="0" xfId="0" applyNumberFormat="1" applyFont="1" applyFill="1" applyAlignment="1">
      <alignment vertical="center" wrapText="1"/>
    </xf>
    <xf numFmtId="0" fontId="5" fillId="6" borderId="0" xfId="0" applyNumberFormat="1" applyFont="1" applyFill="1" applyAlignment="1">
      <alignment vertical="center" wrapText="1"/>
    </xf>
    <xf numFmtId="0" fontId="2" fillId="6" borderId="0" xfId="0" applyNumberFormat="1" applyFont="1" applyFill="1" applyAlignment="1">
      <alignment horizontal="right" vertical="center" wrapText="1" indent="1"/>
    </xf>
    <xf numFmtId="0" fontId="2" fillId="6" borderId="0" xfId="0" applyNumberFormat="1" applyFont="1" applyFill="1" applyAlignment="1">
      <alignment horizontal="center" vertical="center" wrapText="1"/>
    </xf>
    <xf numFmtId="0" fontId="4" fillId="0" borderId="0" xfId="0" applyNumberFormat="1" applyFont="1" applyAlignment="1">
      <alignment horizontal="center" vertical="center" wrapText="1"/>
    </xf>
    <xf numFmtId="0" fontId="6" fillId="6" borderId="0" xfId="0" applyNumberFormat="1" applyFont="1" applyFill="1" applyAlignment="1">
      <alignment horizontal="center" vertical="center" wrapText="1"/>
    </xf>
    <xf numFmtId="0" fontId="2" fillId="0" borderId="0" xfId="0" applyNumberFormat="1" applyFont="1" applyAlignment="1">
      <alignment vertical="center"/>
    </xf>
    <xf numFmtId="49" fontId="2" fillId="6" borderId="0" xfId="0" applyNumberFormat="1" applyFont="1" applyFill="1" applyAlignment="1">
      <alignment horizontal="right" vertical="center" wrapText="1" indent="1"/>
    </xf>
    <xf numFmtId="49" fontId="5" fillId="6" borderId="0" xfId="0" applyNumberFormat="1" applyFont="1" applyFill="1" applyAlignment="1">
      <alignment horizontal="center" vertical="center" wrapText="1"/>
    </xf>
    <xf numFmtId="0" fontId="2" fillId="0" borderId="0" xfId="0" applyNumberFormat="1" applyFont="1" applyAlignment="1">
      <alignment vertical="center" wrapText="1"/>
    </xf>
    <xf numFmtId="0" fontId="2" fillId="6" borderId="0" xfId="0" applyNumberFormat="1" applyFont="1" applyFill="1" applyAlignment="1">
      <alignment vertical="center" wrapText="1"/>
    </xf>
    <xf numFmtId="0" fontId="2" fillId="6" borderId="0" xfId="0" applyNumberFormat="1" applyFont="1" applyFill="1" applyAlignment="1">
      <alignment horizontal="right" vertical="center" wrapText="1"/>
    </xf>
    <xf numFmtId="49" fontId="0" fillId="6" borderId="0" xfId="0" applyNumberFormat="1" applyFont="1" applyFill="1" applyAlignment="1">
      <alignment horizontal="right" vertical="center" wrapText="1" indent="1"/>
    </xf>
    <xf numFmtId="49" fontId="7" fillId="6" borderId="0" xfId="0" applyNumberFormat="1" applyFont="1" applyFill="1" applyAlignment="1">
      <alignment horizontal="center" vertical="center" wrapText="1"/>
    </xf>
    <xf numFmtId="0" fontId="8" fillId="6" borderId="0" xfId="0" applyNumberFormat="1" applyFont="1" applyFill="1" applyAlignment="1">
      <alignment horizontal="center" vertical="center" wrapText="1"/>
    </xf>
    <xf numFmtId="0" fontId="8" fillId="0" borderId="0" xfId="0" applyNumberFormat="1" applyFont="1" applyAlignment="1">
      <alignment horizontal="center" vertical="center"/>
    </xf>
    <xf numFmtId="0" fontId="8" fillId="6" borderId="0" xfId="0" applyNumberFormat="1" applyFont="1" applyFill="1" applyAlignment="1">
      <alignment horizontal="center" vertical="center"/>
    </xf>
    <xf numFmtId="49" fontId="9" fillId="0" borderId="2" xfId="0" applyNumberFormat="1" applyFont="1" applyBorder="1" applyAlignment="1">
      <alignment vertical="top" wrapText="1"/>
    </xf>
    <xf numFmtId="0" fontId="0" fillId="0" borderId="2" xfId="0" applyNumberFormat="1" applyFont="1" applyBorder="1" applyAlignment="1">
      <alignment vertical="top" wrapText="1"/>
    </xf>
    <xf numFmtId="0" fontId="10" fillId="0" borderId="0" xfId="0" applyNumberFormat="1" applyFont="1" applyAlignment="1"/>
    <xf numFmtId="0" fontId="2" fillId="6" borderId="0" xfId="0" applyNumberFormat="1" applyFont="1" applyFill="1" applyAlignment="1">
      <alignment horizontal="center" vertical="center" wrapText="1"/>
    </xf>
    <xf numFmtId="0" fontId="11" fillId="6" borderId="0" xfId="0" applyNumberFormat="1" applyFont="1" applyFill="1" applyAlignment="1">
      <alignment vertical="center" wrapText="1"/>
    </xf>
    <xf numFmtId="0" fontId="3" fillId="0" borderId="0" xfId="0" applyNumberFormat="1" applyFont="1" applyAlignment="1">
      <alignment horizontal="left" vertical="center" wrapText="1"/>
    </xf>
    <xf numFmtId="49" fontId="3" fillId="0" borderId="0" xfId="0" applyNumberFormat="1" applyFont="1" applyAlignment="1">
      <alignment horizontal="left" vertical="center" wrapText="1"/>
    </xf>
    <xf numFmtId="0" fontId="0" fillId="0" borderId="0" xfId="0" applyNumberFormat="1" applyFont="1">
      <alignment vertical="top"/>
    </xf>
    <xf numFmtId="49" fontId="2" fillId="0" borderId="0" xfId="0" applyNumberFormat="1" applyFont="1">
      <alignment vertical="top"/>
    </xf>
    <xf numFmtId="0" fontId="2" fillId="0" borderId="0" xfId="0" applyNumberFormat="1" applyFont="1" applyAlignment="1">
      <alignment vertical="center" wrapText="1"/>
    </xf>
    <xf numFmtId="0" fontId="2" fillId="6" borderId="3" xfId="0" applyNumberFormat="1" applyFont="1" applyFill="1" applyBorder="1" applyAlignment="1">
      <alignment horizontal="center" vertical="center" wrapText="1"/>
    </xf>
    <xf numFmtId="49" fontId="2" fillId="7" borderId="3" xfId="0" applyNumberFormat="1" applyFont="1" applyFill="1" applyBorder="1" applyAlignment="1" applyProtection="1">
      <alignment horizontal="left" vertical="center" wrapText="1"/>
      <protection locked="0"/>
    </xf>
    <xf numFmtId="49" fontId="12" fillId="8" borderId="4" xfId="0" applyNumberFormat="1" applyFont="1" applyFill="1" applyBorder="1" applyAlignment="1">
      <alignment horizontal="left" vertical="center"/>
    </xf>
    <xf numFmtId="0" fontId="0" fillId="0" borderId="3" xfId="0" applyNumberFormat="1" applyFont="1" applyBorder="1" applyAlignment="1">
      <alignment horizontal="center" vertical="center" wrapText="1"/>
    </xf>
    <xf numFmtId="0" fontId="2" fillId="8" borderId="5" xfId="0" applyNumberFormat="1" applyFont="1" applyFill="1" applyBorder="1" applyAlignment="1">
      <alignment vertical="center" wrapText="1"/>
    </xf>
    <xf numFmtId="0" fontId="2" fillId="0" borderId="3" xfId="0" applyNumberFormat="1" applyFont="1" applyBorder="1" applyAlignment="1">
      <alignment horizontal="center" vertical="center" wrapText="1"/>
    </xf>
    <xf numFmtId="49" fontId="2" fillId="0" borderId="3" xfId="0" applyNumberFormat="1" applyFont="1" applyBorder="1" applyAlignment="1">
      <alignment horizontal="center" vertical="center" wrapText="1"/>
    </xf>
    <xf numFmtId="0" fontId="2" fillId="6" borderId="3" xfId="0" applyNumberFormat="1" applyFont="1" applyFill="1" applyBorder="1" applyAlignment="1">
      <alignment horizontal="center" vertical="center"/>
    </xf>
    <xf numFmtId="49" fontId="2" fillId="7" borderId="3" xfId="0" applyNumberFormat="1" applyFont="1" applyFill="1" applyBorder="1" applyAlignment="1" applyProtection="1">
      <alignment horizontal="left" vertical="center" wrapText="1"/>
      <protection locked="0"/>
    </xf>
    <xf numFmtId="0" fontId="3" fillId="0" borderId="0" xfId="0" applyNumberFormat="1" applyFont="1" applyAlignment="1">
      <alignment vertical="center" wrapText="1"/>
    </xf>
    <xf numFmtId="49" fontId="2" fillId="0" borderId="0" xfId="0" applyNumberFormat="1" applyFont="1">
      <alignment vertical="top"/>
    </xf>
    <xf numFmtId="49" fontId="8" fillId="0" borderId="0" xfId="0" applyNumberFormat="1" applyFont="1" applyAlignment="1">
      <alignment horizontal="center" vertical="center"/>
    </xf>
    <xf numFmtId="49" fontId="2" fillId="0" borderId="0" xfId="0" applyNumberFormat="1" applyFont="1">
      <alignment vertical="top"/>
    </xf>
    <xf numFmtId="0" fontId="2" fillId="6" borderId="0" xfId="0" applyNumberFormat="1" applyFont="1" applyFill="1" applyAlignment="1"/>
    <xf numFmtId="0" fontId="15" fillId="6" borderId="0" xfId="0" applyNumberFormat="1" applyFont="1" applyFill="1" applyAlignment="1">
      <alignment horizontal="center" vertical="center" wrapText="1"/>
    </xf>
    <xf numFmtId="0" fontId="3" fillId="6" borderId="0" xfId="0" applyNumberFormat="1" applyFont="1" applyFill="1" applyAlignment="1"/>
    <xf numFmtId="49" fontId="2" fillId="0" borderId="0" xfId="0" applyNumberFormat="1" applyFont="1">
      <alignment vertical="top"/>
    </xf>
    <xf numFmtId="49" fontId="8" fillId="0" borderId="0" xfId="0" applyNumberFormat="1" applyFont="1" applyAlignment="1">
      <alignment horizontal="center" vertical="center" wrapText="1"/>
    </xf>
    <xf numFmtId="0" fontId="2" fillId="6" borderId="3" xfId="0" applyNumberFormat="1" applyFont="1" applyFill="1" applyBorder="1" applyAlignment="1">
      <alignment horizontal="center" vertical="center" wrapText="1"/>
    </xf>
    <xf numFmtId="49" fontId="2" fillId="0" borderId="3" xfId="0" applyNumberFormat="1" applyFont="1" applyBorder="1" applyAlignment="1">
      <alignment horizontal="center" vertical="center" wrapText="1"/>
    </xf>
    <xf numFmtId="49" fontId="16" fillId="8" borderId="6" xfId="0" applyNumberFormat="1" applyFont="1" applyFill="1" applyBorder="1" applyAlignment="1">
      <alignment horizontal="center" vertical="top"/>
    </xf>
    <xf numFmtId="49" fontId="12" fillId="8" borderId="6" xfId="0" applyNumberFormat="1" applyFont="1" applyFill="1" applyBorder="1" applyAlignment="1">
      <alignment horizontal="left" vertical="center"/>
    </xf>
    <xf numFmtId="0" fontId="13" fillId="0" borderId="0" xfId="0" applyNumberFormat="1" applyFont="1" applyAlignment="1">
      <alignment vertical="center"/>
    </xf>
    <xf numFmtId="0" fontId="0" fillId="0" borderId="0" xfId="0" applyNumberFormat="1" applyFont="1" applyAlignment="1">
      <alignment horizontal="center" vertical="center" wrapText="1"/>
    </xf>
    <xf numFmtId="49" fontId="2" fillId="0" borderId="0" xfId="0" applyNumberFormat="1" applyFont="1" applyAlignment="1">
      <alignment horizontal="center" vertical="center" wrapText="1"/>
    </xf>
    <xf numFmtId="49" fontId="2" fillId="0" borderId="0" xfId="0" applyNumberFormat="1" applyFont="1" applyAlignment="1">
      <alignment vertical="center" wrapText="1"/>
    </xf>
    <xf numFmtId="0" fontId="8" fillId="6" borderId="0" xfId="0" applyNumberFormat="1" applyFont="1" applyFill="1" applyAlignment="1">
      <alignment horizontal="center" vertical="center" wrapText="1"/>
    </xf>
    <xf numFmtId="49" fontId="17" fillId="0" borderId="0" xfId="0" applyNumberFormat="1" applyFont="1" applyAlignment="1">
      <alignment horizontal="right" vertical="top"/>
    </xf>
    <xf numFmtId="49" fontId="17" fillId="0" borderId="0" xfId="0" applyNumberFormat="1" applyFont="1">
      <alignment vertical="top"/>
    </xf>
    <xf numFmtId="0" fontId="2" fillId="0" borderId="0" xfId="0" applyNumberFormat="1" applyFont="1" applyAlignment="1">
      <alignment horizontal="center" vertical="center" wrapText="1"/>
    </xf>
    <xf numFmtId="0" fontId="0" fillId="0" borderId="0" xfId="0" applyNumberFormat="1" applyFont="1" applyAlignment="1">
      <alignment vertical="center"/>
    </xf>
    <xf numFmtId="0" fontId="18" fillId="0" borderId="0" xfId="0" applyNumberFormat="1" applyFont="1" applyAlignment="1">
      <alignment vertical="center" wrapText="1"/>
    </xf>
    <xf numFmtId="49" fontId="2" fillId="0" borderId="7" xfId="0" applyNumberFormat="1" applyFont="1" applyBorder="1">
      <alignment vertical="top"/>
    </xf>
    <xf numFmtId="49" fontId="19" fillId="0" borderId="0" xfId="0" applyNumberFormat="1" applyFont="1">
      <alignment vertical="top"/>
    </xf>
    <xf numFmtId="0" fontId="19" fillId="0" borderId="0" xfId="0" applyNumberFormat="1" applyFont="1" applyAlignment="1">
      <alignment vertical="center" wrapText="1"/>
    </xf>
    <xf numFmtId="49" fontId="0" fillId="6" borderId="3" xfId="0" applyNumberFormat="1" applyFont="1" applyFill="1" applyBorder="1" applyAlignment="1">
      <alignment horizontal="center" vertical="center" wrapText="1"/>
    </xf>
    <xf numFmtId="0" fontId="3" fillId="0" borderId="0" xfId="0" applyNumberFormat="1" applyFont="1" applyAlignment="1">
      <alignment horizontal="left" vertical="center" wrapText="1"/>
    </xf>
    <xf numFmtId="49" fontId="2" fillId="0" borderId="3" xfId="0" applyNumberFormat="1" applyFont="1" applyBorder="1" applyAlignment="1">
      <alignment horizontal="left" vertical="center" wrapText="1"/>
    </xf>
    <xf numFmtId="0" fontId="2" fillId="6" borderId="8" xfId="0" applyNumberFormat="1" applyFont="1" applyFill="1" applyBorder="1" applyAlignment="1">
      <alignment horizontal="center" vertical="center"/>
    </xf>
    <xf numFmtId="0" fontId="2" fillId="0" borderId="3" xfId="0" applyNumberFormat="1" applyFont="1" applyBorder="1" applyAlignment="1">
      <alignment vertical="center" wrapText="1"/>
    </xf>
    <xf numFmtId="0" fontId="21" fillId="0" borderId="0" xfId="0" applyNumberFormat="1" applyFont="1" applyAlignment="1">
      <alignment vertical="center"/>
    </xf>
    <xf numFmtId="0" fontId="20" fillId="0" borderId="0" xfId="0" applyNumberFormat="1" applyFont="1" applyAlignment="1">
      <alignment vertical="center"/>
    </xf>
    <xf numFmtId="0" fontId="20" fillId="0" borderId="0" xfId="0" applyNumberFormat="1" applyFont="1" applyAlignment="1">
      <alignment vertical="center"/>
    </xf>
    <xf numFmtId="0" fontId="0" fillId="0" borderId="0" xfId="0" applyNumberFormat="1" applyFont="1" applyAlignment="1">
      <alignment vertical="top" wrapText="1"/>
    </xf>
    <xf numFmtId="49" fontId="2" fillId="0" borderId="3" xfId="0" applyNumberFormat="1" applyFont="1" applyBorder="1" applyAlignment="1">
      <alignment horizontal="center" vertical="center" wrapText="1"/>
    </xf>
    <xf numFmtId="0" fontId="18" fillId="0" borderId="9" xfId="0" applyNumberFormat="1" applyFont="1" applyBorder="1" applyAlignment="1">
      <alignment vertical="top" wrapText="1"/>
    </xf>
    <xf numFmtId="49" fontId="0" fillId="0" borderId="3" xfId="0" applyNumberFormat="1" applyFont="1" applyBorder="1" applyAlignment="1">
      <alignment vertical="top" wrapText="1"/>
    </xf>
    <xf numFmtId="0" fontId="0" fillId="0" borderId="3" xfId="0" applyNumberFormat="1" applyFont="1" applyBorder="1" applyAlignment="1">
      <alignment vertical="top" wrapText="1"/>
    </xf>
    <xf numFmtId="0" fontId="1" fillId="0" borderId="0" xfId="0" applyNumberFormat="1" applyFont="1" applyAlignment="1"/>
    <xf numFmtId="0" fontId="0" fillId="0" borderId="0" xfId="0" applyNumberFormat="1" applyFont="1" applyAlignment="1"/>
    <xf numFmtId="0" fontId="8" fillId="0" borderId="0" xfId="0" applyNumberFormat="1" applyFont="1" applyAlignment="1">
      <alignment horizontal="center" vertical="center" wrapText="1"/>
    </xf>
    <xf numFmtId="0" fontId="8" fillId="0" borderId="0" xfId="0" applyNumberFormat="1" applyFont="1" applyAlignment="1">
      <alignment horizontal="center" vertical="center" wrapText="1"/>
    </xf>
    <xf numFmtId="0" fontId="2" fillId="0" borderId="0" xfId="0" applyNumberFormat="1" applyFont="1" applyAlignment="1">
      <alignment horizontal="right" vertical="center" wrapText="1"/>
    </xf>
    <xf numFmtId="4" fontId="2" fillId="0" borderId="0" xfId="0" applyNumberFormat="1" applyFont="1" applyAlignment="1">
      <alignment horizontal="right" vertical="center" wrapText="1"/>
    </xf>
    <xf numFmtId="0" fontId="2" fillId="0" borderId="0" xfId="0" applyNumberFormat="1" applyFont="1" applyAlignment="1">
      <alignment horizontal="left" vertical="center" wrapText="1" indent="1"/>
    </xf>
    <xf numFmtId="49" fontId="2" fillId="0" borderId="0" xfId="0" applyNumberFormat="1" applyFont="1">
      <alignment vertical="top"/>
    </xf>
    <xf numFmtId="4" fontId="2" fillId="0" borderId="0" xfId="0" applyNumberFormat="1" applyFont="1" applyAlignment="1">
      <alignment horizontal="center" vertical="center" wrapText="1"/>
    </xf>
    <xf numFmtId="0" fontId="19" fillId="0" borderId="0" xfId="0" applyNumberFormat="1" applyFont="1" applyAlignment="1">
      <alignment vertical="center"/>
    </xf>
    <xf numFmtId="168" fontId="2" fillId="0" borderId="3" xfId="0" applyNumberFormat="1" applyFont="1" applyBorder="1" applyAlignment="1">
      <alignment horizontal="center" vertical="center" wrapText="1"/>
    </xf>
    <xf numFmtId="49" fontId="19" fillId="8" borderId="10" xfId="0" applyNumberFormat="1" applyFont="1" applyFill="1" applyBorder="1" applyAlignment="1">
      <alignment horizontal="left" vertical="center" wrapText="1"/>
    </xf>
    <xf numFmtId="49" fontId="0" fillId="8" borderId="6" xfId="0" applyNumberFormat="1" applyFont="1" applyFill="1" applyBorder="1" applyAlignment="1">
      <alignment horizontal="left" vertical="center"/>
    </xf>
    <xf numFmtId="49" fontId="19" fillId="8" borderId="11" xfId="0" applyNumberFormat="1" applyFont="1" applyFill="1" applyBorder="1" applyAlignment="1">
      <alignment horizontal="left" vertical="center" wrapText="1"/>
    </xf>
    <xf numFmtId="0" fontId="7" fillId="0" borderId="0" xfId="0" applyNumberFormat="1" applyFont="1" applyAlignment="1">
      <alignment horizontal="center" vertical="center" wrapText="1"/>
    </xf>
    <xf numFmtId="49" fontId="22" fillId="8" borderId="6" xfId="0" applyNumberFormat="1" applyFont="1" applyFill="1" applyBorder="1" applyAlignment="1">
      <alignment horizontal="right" vertical="center" wrapText="1"/>
    </xf>
    <xf numFmtId="49" fontId="2" fillId="8" borderId="6" xfId="0" applyNumberFormat="1" applyFont="1" applyFill="1" applyBorder="1" applyAlignment="1">
      <alignment horizontal="right" vertical="center" wrapText="1"/>
    </xf>
    <xf numFmtId="49" fontId="2" fillId="8" borderId="4" xfId="0" applyNumberFormat="1" applyFont="1" applyFill="1" applyBorder="1" applyAlignment="1">
      <alignment horizontal="right" vertical="center" wrapText="1"/>
    </xf>
    <xf numFmtId="0" fontId="2" fillId="0" borderId="12" xfId="0" applyNumberFormat="1" applyFont="1" applyBorder="1" applyAlignment="1">
      <alignment vertical="center" wrapText="1"/>
    </xf>
    <xf numFmtId="0" fontId="17" fillId="0" borderId="0" xfId="0" applyNumberFormat="1" applyFont="1" applyAlignment="1">
      <alignment vertical="center" wrapText="1"/>
    </xf>
    <xf numFmtId="0" fontId="23" fillId="0" borderId="0" xfId="0" applyNumberFormat="1" applyFont="1" applyAlignment="1">
      <alignment horizontal="center" vertical="center" wrapText="1"/>
    </xf>
    <xf numFmtId="49" fontId="0" fillId="6" borderId="0" xfId="0" applyNumberFormat="1" applyFont="1" applyFill="1">
      <alignment vertical="top"/>
    </xf>
    <xf numFmtId="49" fontId="24" fillId="9" borderId="0" xfId="0" applyNumberFormat="1" applyFont="1" applyFill="1">
      <alignment vertical="top"/>
    </xf>
    <xf numFmtId="49" fontId="24" fillId="0" borderId="0" xfId="0" applyNumberFormat="1" applyFont="1">
      <alignment vertical="top"/>
    </xf>
    <xf numFmtId="0" fontId="19" fillId="0" borderId="0" xfId="0" applyNumberFormat="1" applyFont="1" applyAlignment="1">
      <alignment vertical="center"/>
    </xf>
    <xf numFmtId="49" fontId="0" fillId="8" borderId="6" xfId="0" applyNumberFormat="1" applyFont="1" applyFill="1" applyBorder="1" applyAlignment="1">
      <alignment horizontal="right" vertical="center" wrapText="1"/>
    </xf>
    <xf numFmtId="0" fontId="22" fillId="0" borderId="2" xfId="0" applyNumberFormat="1" applyFont="1" applyBorder="1" applyAlignment="1">
      <alignment vertical="center" wrapText="1"/>
    </xf>
    <xf numFmtId="0" fontId="18" fillId="0" borderId="0" xfId="0" applyNumberFormat="1" applyFont="1" applyAlignment="1">
      <alignment vertical="top" wrapText="1"/>
    </xf>
    <xf numFmtId="0" fontId="2" fillId="0" borderId="2" xfId="0" applyNumberFormat="1" applyFont="1" applyBorder="1" applyAlignment="1">
      <alignment vertical="center" wrapText="1"/>
    </xf>
    <xf numFmtId="49" fontId="2" fillId="0" borderId="0" xfId="0" applyNumberFormat="1" applyFont="1">
      <alignment vertical="top"/>
    </xf>
    <xf numFmtId="0" fontId="2" fillId="6" borderId="0" xfId="0" applyNumberFormat="1" applyFont="1" applyFill="1" applyAlignment="1">
      <alignment horizontal="right" vertical="center"/>
    </xf>
    <xf numFmtId="0" fontId="0" fillId="0" borderId="3" xfId="0" applyNumberFormat="1" applyFont="1" applyBorder="1" applyAlignment="1">
      <alignment horizontal="left" vertical="center" wrapText="1" indent="1"/>
    </xf>
    <xf numFmtId="0" fontId="0" fillId="10" borderId="3" xfId="0" applyNumberFormat="1" applyFont="1" applyFill="1" applyBorder="1" applyAlignment="1" applyProtection="1">
      <alignment horizontal="left" vertical="center" wrapText="1" indent="2"/>
      <protection locked="0"/>
    </xf>
    <xf numFmtId="49" fontId="20" fillId="0" borderId="0" xfId="0" applyNumberFormat="1" applyFont="1">
      <alignment vertical="top"/>
    </xf>
    <xf numFmtId="0" fontId="0" fillId="0" borderId="3" xfId="0" applyNumberFormat="1" applyFont="1" applyBorder="1" applyAlignment="1">
      <alignment vertical="center" wrapText="1"/>
    </xf>
    <xf numFmtId="0" fontId="0" fillId="0" borderId="3" xfId="0" applyNumberFormat="1" applyFont="1" applyBorder="1" applyAlignment="1">
      <alignment horizontal="center" vertical="center" wrapText="1"/>
    </xf>
    <xf numFmtId="0" fontId="0" fillId="10" borderId="3" xfId="0" applyNumberFormat="1" applyFont="1" applyFill="1" applyBorder="1" applyAlignment="1" applyProtection="1">
      <alignment horizontal="left" vertical="center" wrapText="1" indent="1"/>
      <protection locked="0"/>
    </xf>
    <xf numFmtId="49" fontId="12" fillId="8" borderId="6" xfId="0" applyNumberFormat="1" applyFont="1" applyFill="1" applyBorder="1" applyAlignment="1">
      <alignment horizontal="left" vertical="center" indent="3"/>
    </xf>
    <xf numFmtId="49" fontId="16" fillId="8" borderId="4" xfId="0" applyNumberFormat="1" applyFont="1" applyFill="1" applyBorder="1" applyAlignment="1">
      <alignment horizontal="center" vertical="top"/>
    </xf>
    <xf numFmtId="0" fontId="18" fillId="0" borderId="0" xfId="0" applyNumberFormat="1" applyFont="1" applyAlignment="1">
      <alignment horizontal="right" vertical="top" wrapText="1"/>
    </xf>
    <xf numFmtId="49" fontId="12" fillId="8" borderId="6" xfId="0" applyNumberFormat="1" applyFont="1" applyFill="1" applyBorder="1" applyAlignment="1">
      <alignment horizontal="left" vertical="center" indent="1"/>
    </xf>
    <xf numFmtId="49" fontId="12" fillId="8" borderId="6" xfId="0" applyNumberFormat="1" applyFont="1" applyFill="1" applyBorder="1" applyAlignment="1">
      <alignment horizontal="left" vertical="center" indent="2"/>
    </xf>
    <xf numFmtId="0" fontId="0" fillId="0" borderId="3" xfId="0" applyNumberFormat="1" applyFont="1" applyBorder="1" applyAlignment="1">
      <alignment horizontal="left" vertical="center" wrapText="1" indent="1"/>
    </xf>
    <xf numFmtId="0" fontId="0" fillId="0" borderId="3" xfId="0" applyNumberFormat="1" applyFont="1" applyBorder="1" applyAlignment="1">
      <alignment horizontal="left" vertical="center" wrapText="1" indent="2"/>
    </xf>
    <xf numFmtId="49" fontId="2" fillId="11" borderId="3" xfId="0" applyNumberFormat="1" applyFont="1" applyFill="1" applyBorder="1" applyAlignment="1">
      <alignment horizontal="left" vertical="center" wrapText="1"/>
    </xf>
    <xf numFmtId="0" fontId="2" fillId="0" borderId="3" xfId="0" applyNumberFormat="1" applyFont="1" applyBorder="1" applyAlignment="1">
      <alignment vertical="top" wrapText="1"/>
    </xf>
    <xf numFmtId="0" fontId="8" fillId="0" borderId="0" xfId="0" applyNumberFormat="1" applyFont="1" applyAlignment="1">
      <alignment horizontal="center" vertical="center" wrapText="1"/>
    </xf>
    <xf numFmtId="49" fontId="0" fillId="0" borderId="8" xfId="0" applyNumberFormat="1" applyFont="1" applyBorder="1">
      <alignment vertical="top"/>
    </xf>
    <xf numFmtId="0" fontId="20" fillId="0" borderId="0" xfId="0" applyNumberFormat="1" applyFont="1" applyAlignment="1">
      <alignment vertical="center"/>
    </xf>
    <xf numFmtId="0" fontId="25" fillId="0" borderId="0" xfId="0" applyNumberFormat="1" applyFont="1" applyAlignment="1">
      <alignment vertical="center"/>
    </xf>
    <xf numFmtId="49" fontId="26" fillId="10" borderId="3" xfId="0" applyNumberFormat="1" applyFont="1" applyFill="1" applyBorder="1" applyAlignment="1" applyProtection="1">
      <alignment horizontal="left" vertical="center" wrapText="1"/>
      <protection locked="0"/>
    </xf>
    <xf numFmtId="49" fontId="16" fillId="8" borderId="4" xfId="0" applyNumberFormat="1" applyFont="1" applyFill="1" applyBorder="1" applyAlignment="1">
      <alignment horizontal="center" vertical="top"/>
    </xf>
    <xf numFmtId="0" fontId="0" fillId="5" borderId="3" xfId="0" applyNumberFormat="1" applyFont="1" applyFill="1" applyBorder="1" applyAlignment="1">
      <alignment horizontal="left" vertical="center" wrapText="1" indent="1"/>
    </xf>
    <xf numFmtId="49" fontId="2" fillId="10" borderId="3" xfId="0" applyNumberFormat="1" applyFont="1" applyFill="1" applyBorder="1" applyAlignment="1" applyProtection="1">
      <alignment horizontal="left" vertical="center" wrapText="1" indent="1"/>
      <protection locked="0"/>
    </xf>
    <xf numFmtId="49" fontId="2" fillId="5" borderId="3" xfId="0" applyNumberFormat="1" applyFont="1" applyFill="1" applyBorder="1" applyAlignment="1">
      <alignment horizontal="left" vertical="center" wrapText="1" indent="1"/>
    </xf>
    <xf numFmtId="49" fontId="2" fillId="0" borderId="3" xfId="0" applyNumberFormat="1" applyFont="1" applyBorder="1" applyAlignment="1">
      <alignment horizontal="left" vertical="center" wrapText="1" indent="1"/>
    </xf>
    <xf numFmtId="0" fontId="2" fillId="0" borderId="3" xfId="0" applyNumberFormat="1" applyFont="1" applyBorder="1" applyAlignment="1">
      <alignment horizontal="center" vertical="center" wrapText="1"/>
    </xf>
    <xf numFmtId="0" fontId="18" fillId="0" borderId="0" xfId="0" applyNumberFormat="1" applyFont="1" applyAlignment="1">
      <alignment vertical="center" wrapText="1"/>
    </xf>
    <xf numFmtId="0" fontId="20" fillId="0" borderId="0" xfId="0" applyNumberFormat="1" applyFont="1" applyAlignment="1">
      <alignment horizontal="center" vertical="center" wrapText="1"/>
    </xf>
    <xf numFmtId="0" fontId="0" fillId="0" borderId="3" xfId="0" applyNumberFormat="1" applyFont="1" applyBorder="1" applyAlignment="1">
      <alignment horizontal="left" vertical="center" wrapText="1"/>
    </xf>
    <xf numFmtId="49" fontId="7" fillId="0" borderId="6" xfId="0" applyNumberFormat="1" applyFont="1" applyBorder="1" applyAlignment="1">
      <alignment horizontal="center" vertical="center" wrapText="1"/>
    </xf>
    <xf numFmtId="0" fontId="27" fillId="0" borderId="0" xfId="0" applyNumberFormat="1" applyFont="1" applyAlignment="1">
      <alignment vertical="center"/>
    </xf>
    <xf numFmtId="0" fontId="28" fillId="0" borderId="0" xfId="0" applyNumberFormat="1" applyFont="1" applyAlignment="1">
      <alignment vertical="center"/>
    </xf>
    <xf numFmtId="0" fontId="20" fillId="0" borderId="0" xfId="0" applyNumberFormat="1" applyFont="1" applyAlignment="1">
      <alignment vertical="center"/>
    </xf>
    <xf numFmtId="0" fontId="20" fillId="0" borderId="0" xfId="0" applyNumberFormat="1" applyFont="1" applyAlignment="1">
      <alignment horizontal="left" vertical="center" wrapText="1" indent="1"/>
    </xf>
    <xf numFmtId="0" fontId="19" fillId="0" borderId="0" xfId="0" applyNumberFormat="1" applyFont="1" applyAlignment="1">
      <alignment horizontal="left" vertical="center" wrapText="1" indent="1"/>
    </xf>
    <xf numFmtId="0" fontId="29" fillId="0" borderId="0" xfId="0" applyNumberFormat="1" applyFont="1" applyAlignment="1">
      <alignment horizontal="left" vertical="center" wrapText="1" indent="1"/>
    </xf>
    <xf numFmtId="0" fontId="30" fillId="0" borderId="0" xfId="0" applyNumberFormat="1" applyFont="1" applyAlignment="1">
      <alignment horizontal="left" vertical="center" indent="1"/>
    </xf>
    <xf numFmtId="0" fontId="31" fillId="0" borderId="0" xfId="0" applyNumberFormat="1" applyFont="1" applyAlignment="1">
      <alignment horizontal="left" vertical="center" wrapText="1"/>
    </xf>
    <xf numFmtId="0" fontId="32" fillId="0" borderId="0" xfId="0" applyNumberFormat="1" applyFont="1" applyAlignment="1">
      <alignment vertical="center" wrapText="1"/>
    </xf>
    <xf numFmtId="0" fontId="33" fillId="6" borderId="0" xfId="0" applyNumberFormat="1" applyFont="1" applyFill="1" applyAlignment="1">
      <alignment vertical="center" wrapText="1"/>
    </xf>
    <xf numFmtId="0" fontId="34" fillId="6" borderId="0" xfId="0" applyNumberFormat="1" applyFont="1" applyFill="1" applyAlignment="1">
      <alignment horizontal="right" vertical="center" wrapText="1" indent="1"/>
    </xf>
    <xf numFmtId="0" fontId="33" fillId="6" borderId="0" xfId="0" applyNumberFormat="1" applyFont="1" applyFill="1" applyAlignment="1">
      <alignment horizontal="right" vertical="center" wrapText="1" indent="1"/>
    </xf>
    <xf numFmtId="0" fontId="35" fillId="6" borderId="0" xfId="0" applyNumberFormat="1" applyFont="1" applyFill="1" applyAlignment="1">
      <alignment horizontal="center" vertical="center" wrapText="1"/>
    </xf>
    <xf numFmtId="0" fontId="31" fillId="6" borderId="0" xfId="0" applyNumberFormat="1" applyFont="1" applyFill="1" applyAlignment="1">
      <alignment horizontal="center" vertical="center" wrapText="1"/>
    </xf>
    <xf numFmtId="0" fontId="33" fillId="6" borderId="0" xfId="0" applyNumberFormat="1" applyFont="1" applyFill="1" applyAlignment="1">
      <alignment horizontal="left" vertical="center" wrapText="1" indent="1"/>
    </xf>
    <xf numFmtId="0" fontId="36" fillId="0" borderId="0" xfId="0" applyNumberFormat="1" applyFont="1" applyAlignment="1">
      <alignment horizontal="left" vertical="center" wrapText="1"/>
    </xf>
    <xf numFmtId="0" fontId="36" fillId="0" borderId="0" xfId="0" applyNumberFormat="1" applyFont="1" applyAlignment="1">
      <alignment vertical="center" wrapText="1"/>
    </xf>
    <xf numFmtId="0" fontId="33" fillId="0" borderId="0" xfId="0" applyNumberFormat="1" applyFont="1" applyAlignment="1">
      <alignment vertical="center" wrapText="1"/>
    </xf>
    <xf numFmtId="0" fontId="33" fillId="0" borderId="0" xfId="0" applyNumberFormat="1" applyFont="1" applyAlignment="1">
      <alignment horizontal="right" vertical="center"/>
    </xf>
    <xf numFmtId="49" fontId="2" fillId="0" borderId="0" xfId="0" applyNumberFormat="1" applyFont="1" applyAlignment="1">
      <alignment vertical="center" wrapText="1"/>
    </xf>
    <xf numFmtId="0" fontId="0" fillId="0" borderId="0" xfId="0" applyNumberFormat="1" applyFont="1" applyAlignment="1">
      <alignment horizontal="left" vertical="center" indent="1"/>
    </xf>
    <xf numFmtId="0" fontId="20" fillId="0" borderId="0" xfId="0" applyNumberFormat="1" applyFont="1" applyAlignment="1">
      <alignment horizontal="left" vertical="center" indent="1"/>
    </xf>
    <xf numFmtId="0" fontId="20" fillId="0" borderId="0" xfId="0" applyNumberFormat="1" applyFont="1" applyAlignment="1">
      <alignment horizontal="left" vertical="center" indent="1"/>
    </xf>
    <xf numFmtId="0" fontId="20" fillId="0" borderId="13" xfId="0" applyNumberFormat="1" applyFont="1" applyBorder="1" applyAlignment="1">
      <alignment vertical="center"/>
    </xf>
    <xf numFmtId="0" fontId="2" fillId="0" borderId="3" xfId="0" applyNumberFormat="1" applyFont="1" applyBorder="1" applyAlignment="1">
      <alignment horizontal="center" vertical="center" wrapText="1"/>
    </xf>
    <xf numFmtId="0" fontId="0" fillId="0" borderId="3" xfId="0" applyNumberFormat="1" applyFont="1" applyBorder="1" applyAlignment="1">
      <alignment horizontal="center" vertical="center"/>
    </xf>
    <xf numFmtId="49" fontId="0" fillId="0" borderId="3" xfId="0" applyNumberFormat="1" applyFont="1" applyBorder="1" applyAlignment="1">
      <alignment horizontal="center" vertical="center"/>
    </xf>
    <xf numFmtId="49" fontId="0" fillId="0" borderId="3" xfId="0" applyNumberFormat="1" applyFont="1" applyBorder="1" applyAlignment="1">
      <alignment horizontal="left" vertical="center"/>
    </xf>
    <xf numFmtId="49" fontId="2" fillId="0" borderId="0" xfId="0" applyNumberFormat="1" applyFont="1">
      <alignment vertical="top"/>
    </xf>
    <xf numFmtId="0" fontId="2" fillId="0" borderId="0" xfId="0" applyNumberFormat="1" applyFont="1" applyAlignment="1">
      <alignment horizontal="left" vertical="center" wrapText="1" indent="2"/>
    </xf>
    <xf numFmtId="0" fontId="2" fillId="0" borderId="3" xfId="0" applyNumberFormat="1" applyFont="1" applyBorder="1" applyAlignment="1">
      <alignment vertical="top" wrapText="1"/>
    </xf>
    <xf numFmtId="0" fontId="0" fillId="10" borderId="3" xfId="0" applyNumberFormat="1" applyFont="1" applyFill="1" applyBorder="1" applyAlignment="1" applyProtection="1">
      <alignment horizontal="left" vertical="center" wrapText="1"/>
      <protection locked="0"/>
    </xf>
    <xf numFmtId="0" fontId="2" fillId="0" borderId="3" xfId="0" applyNumberFormat="1" applyFont="1" applyBorder="1" applyAlignment="1">
      <alignment horizontal="left" vertical="top" wrapText="1"/>
    </xf>
    <xf numFmtId="0" fontId="2" fillId="0" borderId="3" xfId="0" applyNumberFormat="1" applyFont="1" applyBorder="1" applyAlignment="1">
      <alignment horizontal="left" vertical="center" wrapText="1"/>
    </xf>
    <xf numFmtId="0" fontId="2" fillId="0" borderId="3" xfId="0" applyNumberFormat="1" applyFont="1" applyBorder="1" applyAlignment="1">
      <alignment horizontal="center" vertical="center" wrapText="1"/>
    </xf>
    <xf numFmtId="49" fontId="2" fillId="0" borderId="8" xfId="0" applyNumberFormat="1" applyFont="1" applyBorder="1" applyAlignment="1">
      <alignment horizontal="left" vertical="center" wrapText="1"/>
    </xf>
    <xf numFmtId="49" fontId="22" fillId="8" borderId="5" xfId="0" applyNumberFormat="1" applyFont="1" applyFill="1" applyBorder="1" applyAlignment="1">
      <alignment horizontal="center" vertical="center"/>
    </xf>
    <xf numFmtId="49" fontId="12" fillId="8" borderId="4" xfId="0" applyNumberFormat="1" applyFont="1" applyFill="1" applyBorder="1" applyAlignment="1">
      <alignment horizontal="left" vertical="center"/>
    </xf>
    <xf numFmtId="0" fontId="2" fillId="0" borderId="0" xfId="0" applyNumberFormat="1" applyFont="1" applyAlignment="1"/>
    <xf numFmtId="0" fontId="37" fillId="0" borderId="0" xfId="0" applyNumberFormat="1" applyFont="1" applyAlignment="1">
      <alignment vertical="center" wrapText="1"/>
    </xf>
    <xf numFmtId="0" fontId="37" fillId="0" borderId="0" xfId="0" applyNumberFormat="1" applyFont="1" applyAlignment="1">
      <alignment vertical="center" wrapText="1"/>
    </xf>
    <xf numFmtId="0" fontId="37" fillId="0" borderId="0" xfId="0" applyNumberFormat="1" applyFont="1" applyAlignment="1"/>
    <xf numFmtId="49" fontId="38" fillId="0" borderId="0" xfId="0" applyNumberFormat="1" applyFont="1">
      <alignment vertical="top"/>
    </xf>
    <xf numFmtId="49" fontId="39" fillId="0" borderId="0" xfId="0" applyNumberFormat="1" applyFont="1">
      <alignment vertical="top"/>
    </xf>
    <xf numFmtId="0" fontId="2" fillId="0" borderId="0" xfId="0" applyNumberFormat="1" applyFont="1" applyAlignment="1">
      <alignment horizontal="center" vertical="center" wrapText="1"/>
    </xf>
    <xf numFmtId="49" fontId="2" fillId="10" borderId="3" xfId="0" applyNumberFormat="1" applyFont="1" applyFill="1" applyBorder="1" applyAlignment="1" applyProtection="1">
      <alignment horizontal="left" vertical="center" wrapText="1" indent="1"/>
      <protection locked="0"/>
    </xf>
    <xf numFmtId="0" fontId="20" fillId="0" borderId="0" xfId="0" applyNumberFormat="1" applyFont="1">
      <alignment vertical="top"/>
    </xf>
    <xf numFmtId="49" fontId="20" fillId="0" borderId="0" xfId="0" applyNumberFormat="1" applyFont="1">
      <alignment vertical="top"/>
    </xf>
    <xf numFmtId="0" fontId="0" fillId="0" borderId="0" xfId="0" applyNumberFormat="1" applyFont="1">
      <alignment vertical="top"/>
    </xf>
    <xf numFmtId="49" fontId="2" fillId="0" borderId="3" xfId="0" applyNumberFormat="1" applyFont="1" applyBorder="1" applyAlignment="1">
      <alignment horizontal="right" vertical="center"/>
    </xf>
    <xf numFmtId="0" fontId="20" fillId="0" borderId="0" xfId="0" applyNumberFormat="1" applyFont="1" applyAlignment="1">
      <alignment vertical="center"/>
    </xf>
    <xf numFmtId="0" fontId="18" fillId="0" borderId="0" xfId="0" applyNumberFormat="1" applyFont="1" applyAlignment="1">
      <alignment horizontal="center" vertical="center" wrapText="1"/>
    </xf>
    <xf numFmtId="0" fontId="0" fillId="0" borderId="0" xfId="0" applyNumberFormat="1" applyFont="1" applyAlignment="1">
      <alignment horizontal="center" vertical="center"/>
    </xf>
    <xf numFmtId="0" fontId="20" fillId="0" borderId="0" xfId="0" applyNumberFormat="1" applyFont="1" applyAlignment="1">
      <alignment vertical="center" wrapText="1"/>
    </xf>
    <xf numFmtId="0" fontId="2" fillId="0" borderId="3" xfId="0" applyNumberFormat="1" applyFont="1" applyBorder="1" applyAlignment="1">
      <alignment horizontal="left" vertical="center" wrapText="1"/>
    </xf>
    <xf numFmtId="0" fontId="41" fillId="0" borderId="0" xfId="0" applyNumberFormat="1" applyFont="1" applyAlignment="1">
      <alignment vertical="center"/>
    </xf>
    <xf numFmtId="49" fontId="7" fillId="6" borderId="0" xfId="0" applyNumberFormat="1" applyFont="1" applyFill="1" applyAlignment="1">
      <alignment horizontal="center" vertical="center" wrapText="1"/>
    </xf>
    <xf numFmtId="0" fontId="2" fillId="0" borderId="3" xfId="0" applyNumberFormat="1" applyFont="1" applyBorder="1" applyAlignment="1">
      <alignment horizontal="center" vertical="center" wrapText="1"/>
    </xf>
    <xf numFmtId="49" fontId="2" fillId="0" borderId="3" xfId="0" applyNumberFormat="1" applyFont="1" applyBorder="1" applyAlignment="1">
      <alignment horizontal="center" vertical="center" wrapText="1"/>
    </xf>
    <xf numFmtId="0" fontId="2" fillId="6" borderId="3" xfId="0" applyNumberFormat="1" applyFont="1" applyFill="1" applyBorder="1" applyAlignment="1">
      <alignment horizontal="left" vertical="center" wrapText="1" indent="4"/>
    </xf>
    <xf numFmtId="0" fontId="2" fillId="6" borderId="3" xfId="0" applyNumberFormat="1" applyFont="1" applyFill="1" applyBorder="1" applyAlignment="1">
      <alignment horizontal="left" vertical="center" wrapText="1" indent="5"/>
    </xf>
    <xf numFmtId="49" fontId="12" fillId="8" borderId="6" xfId="0" applyNumberFormat="1" applyFont="1" applyFill="1" applyBorder="1" applyAlignment="1">
      <alignment horizontal="left" vertical="center" indent="5"/>
    </xf>
    <xf numFmtId="49" fontId="12" fillId="8" borderId="6" xfId="0" applyNumberFormat="1" applyFont="1" applyFill="1" applyBorder="1" applyAlignment="1">
      <alignment horizontal="left" vertical="center" indent="6"/>
    </xf>
    <xf numFmtId="0" fontId="2" fillId="0" borderId="3" xfId="0" applyNumberFormat="1" applyFont="1" applyBorder="1" applyAlignment="1">
      <alignment vertical="center" wrapText="1"/>
    </xf>
    <xf numFmtId="0" fontId="18" fillId="0" borderId="0" xfId="0" applyNumberFormat="1" applyFont="1" applyAlignment="1">
      <alignment vertical="center" wrapText="1"/>
    </xf>
    <xf numFmtId="0" fontId="42" fillId="6" borderId="0" xfId="0" applyNumberFormat="1" applyFont="1" applyFill="1" applyAlignment="1">
      <alignment vertical="center" wrapText="1"/>
    </xf>
    <xf numFmtId="49" fontId="2" fillId="0" borderId="3" xfId="0" applyNumberFormat="1" applyFont="1" applyBorder="1" applyAlignment="1">
      <alignment horizontal="center" vertical="center" wrapText="1"/>
    </xf>
    <xf numFmtId="49" fontId="12" fillId="8" borderId="5" xfId="0" applyNumberFormat="1" applyFont="1" applyFill="1" applyBorder="1" applyAlignment="1">
      <alignment horizontal="left" vertical="center" indent="1"/>
    </xf>
    <xf numFmtId="0" fontId="0" fillId="6" borderId="3" xfId="0" applyNumberFormat="1" applyFont="1" applyFill="1" applyBorder="1" applyAlignment="1">
      <alignment horizontal="right" vertical="center" wrapText="1" indent="1"/>
    </xf>
    <xf numFmtId="49" fontId="0" fillId="0" borderId="3" xfId="0" applyNumberFormat="1" applyFont="1" applyBorder="1" applyAlignment="1">
      <alignment horizontal="left" vertical="center"/>
    </xf>
    <xf numFmtId="0" fontId="2" fillId="0" borderId="3" xfId="0" applyNumberFormat="1" applyFont="1" applyBorder="1" applyAlignment="1">
      <alignment vertical="top" wrapText="1"/>
    </xf>
    <xf numFmtId="0" fontId="2" fillId="0" borderId="3" xfId="0" applyNumberFormat="1" applyFont="1" applyBorder="1" applyAlignment="1">
      <alignment vertical="center" wrapText="1"/>
    </xf>
    <xf numFmtId="0" fontId="40" fillId="0" borderId="0" xfId="0" applyNumberFormat="1" applyFont="1" applyAlignment="1">
      <alignment vertical="center"/>
    </xf>
    <xf numFmtId="0" fontId="2" fillId="0" borderId="3" xfId="0" applyNumberFormat="1" applyFont="1" applyBorder="1" applyAlignment="1">
      <alignment horizontal="left" vertical="center" wrapText="1" indent="6"/>
    </xf>
    <xf numFmtId="0" fontId="2" fillId="0" borderId="8" xfId="0" applyNumberFormat="1" applyFont="1" applyBorder="1" applyAlignment="1">
      <alignment vertical="center" wrapText="1"/>
    </xf>
    <xf numFmtId="0" fontId="2" fillId="0" borderId="14" xfId="0" applyNumberFormat="1" applyFont="1" applyBorder="1" applyAlignment="1">
      <alignment vertical="center" wrapText="1"/>
    </xf>
    <xf numFmtId="49" fontId="0" fillId="8" borderId="4" xfId="0" applyNumberFormat="1" applyFont="1" applyFill="1" applyBorder="1" applyAlignment="1">
      <alignment horizontal="center" vertical="center" wrapText="1"/>
    </xf>
    <xf numFmtId="0" fontId="0" fillId="0" borderId="5" xfId="0" applyNumberFormat="1" applyFont="1" applyBorder="1" applyAlignment="1">
      <alignment vertical="center"/>
    </xf>
    <xf numFmtId="169" fontId="0" fillId="10" borderId="3" xfId="0" applyNumberFormat="1" applyFont="1" applyFill="1" applyBorder="1" applyAlignment="1" applyProtection="1">
      <alignment horizontal="right" vertical="center"/>
      <protection locked="0"/>
    </xf>
    <xf numFmtId="0" fontId="0" fillId="6" borderId="5" xfId="0" applyNumberFormat="1" applyFont="1" applyFill="1" applyBorder="1" applyAlignment="1">
      <alignment horizontal="right" vertical="center" wrapText="1" indent="1"/>
    </xf>
    <xf numFmtId="49" fontId="3" fillId="0" borderId="0" xfId="0" applyNumberFormat="1" applyFont="1">
      <alignment vertical="top"/>
    </xf>
    <xf numFmtId="0" fontId="11" fillId="6" borderId="0" xfId="0" applyNumberFormat="1" applyFont="1" applyFill="1" applyAlignment="1">
      <alignment vertical="center" wrapText="1"/>
    </xf>
    <xf numFmtId="49" fontId="43" fillId="8" borderId="5" xfId="0" applyNumberFormat="1" applyFont="1" applyFill="1" applyBorder="1" applyAlignment="1">
      <alignment horizontal="center" vertical="center"/>
    </xf>
    <xf numFmtId="0" fontId="2" fillId="6" borderId="3" xfId="0" applyNumberFormat="1" applyFont="1" applyFill="1" applyBorder="1" applyAlignment="1">
      <alignment horizontal="left" vertical="center" wrapText="1" indent="1"/>
    </xf>
    <xf numFmtId="0" fontId="2" fillId="6" borderId="3" xfId="0" applyNumberFormat="1" applyFont="1" applyFill="1" applyBorder="1" applyAlignment="1">
      <alignment horizontal="left" vertical="center" wrapText="1" indent="2"/>
    </xf>
    <xf numFmtId="0" fontId="2" fillId="6" borderId="3" xfId="0" applyNumberFormat="1" applyFont="1" applyFill="1" applyBorder="1" applyAlignment="1">
      <alignment horizontal="left" vertical="center" wrapText="1" indent="3"/>
    </xf>
    <xf numFmtId="0" fontId="2" fillId="0" borderId="3" xfId="0" applyNumberFormat="1" applyFont="1" applyBorder="1" applyAlignment="1">
      <alignment horizontal="left" vertical="center" wrapText="1" indent="4"/>
    </xf>
    <xf numFmtId="49" fontId="12" fillId="8" borderId="5" xfId="0" applyNumberFormat="1" applyFont="1" applyFill="1" applyBorder="1" applyAlignment="1">
      <alignment vertical="center" wrapText="1"/>
    </xf>
    <xf numFmtId="49" fontId="12" fillId="8" borderId="6" xfId="0" applyNumberFormat="1" applyFont="1" applyFill="1" applyBorder="1" applyAlignment="1">
      <alignment vertical="center"/>
    </xf>
    <xf numFmtId="49" fontId="12" fillId="8" borderId="6" xfId="0" applyNumberFormat="1" applyFont="1" applyFill="1" applyBorder="1" applyAlignment="1">
      <alignment vertical="center" wrapText="1"/>
    </xf>
    <xf numFmtId="0" fontId="2" fillId="0" borderId="3" xfId="0" applyNumberFormat="1" applyFont="1" applyBorder="1" applyAlignment="1">
      <alignment vertical="center" wrapText="1"/>
    </xf>
    <xf numFmtId="49" fontId="2" fillId="0" borderId="3" xfId="0" applyNumberFormat="1" applyFont="1" applyBorder="1" applyAlignment="1">
      <alignment vertical="center" wrapText="1"/>
    </xf>
    <xf numFmtId="0" fontId="2" fillId="0" borderId="0" xfId="0" applyNumberFormat="1" applyFont="1" applyAlignment="1">
      <alignment vertical="top" wrapText="1"/>
    </xf>
    <xf numFmtId="49" fontId="12" fillId="8" borderId="5" xfId="0" applyNumberFormat="1" applyFont="1" applyFill="1" applyBorder="1" applyAlignment="1">
      <alignment horizontal="left" vertical="center"/>
    </xf>
    <xf numFmtId="49" fontId="0" fillId="0" borderId="3" xfId="0" applyNumberFormat="1" applyFont="1" applyBorder="1" applyAlignment="1">
      <alignment vertical="center" wrapText="1"/>
    </xf>
    <xf numFmtId="0" fontId="12" fillId="8" borderId="5" xfId="0" applyNumberFormat="1" applyFont="1" applyFill="1" applyBorder="1" applyAlignment="1">
      <alignment horizontal="left" vertical="center"/>
    </xf>
    <xf numFmtId="0" fontId="12" fillId="8" borderId="6" xfId="0" applyNumberFormat="1" applyFont="1" applyFill="1" applyBorder="1" applyAlignment="1">
      <alignment horizontal="left" vertical="center"/>
    </xf>
    <xf numFmtId="0" fontId="12" fillId="8" borderId="4" xfId="0" applyNumberFormat="1" applyFont="1" applyFill="1" applyBorder="1" applyAlignment="1">
      <alignment horizontal="left" vertical="center"/>
    </xf>
    <xf numFmtId="0" fontId="0" fillId="0" borderId="0" xfId="0" applyNumberFormat="1" applyFont="1" applyAlignment="1">
      <alignment vertical="center"/>
    </xf>
    <xf numFmtId="49" fontId="0" fillId="0" borderId="0" xfId="0" applyNumberFormat="1" applyFont="1" applyAlignment="1">
      <alignment vertical="center"/>
    </xf>
    <xf numFmtId="0" fontId="0" fillId="0" borderId="0" xfId="0" applyNumberFormat="1" applyFont="1" applyAlignment="1">
      <alignment horizontal="right" vertical="center" wrapText="1" indent="1"/>
    </xf>
    <xf numFmtId="0" fontId="22" fillId="6" borderId="0" xfId="0" applyNumberFormat="1" applyFont="1" applyFill="1" applyAlignment="1">
      <alignment horizontal="center" vertical="center" wrapText="1"/>
    </xf>
    <xf numFmtId="49" fontId="43" fillId="8" borderId="6" xfId="0" applyNumberFormat="1" applyFont="1" applyFill="1" applyBorder="1" applyAlignment="1">
      <alignment horizontal="left" vertical="center"/>
    </xf>
    <xf numFmtId="0" fontId="2" fillId="0" borderId="0" xfId="0" applyNumberFormat="1" applyFont="1" applyAlignment="1">
      <alignment vertical="center" wrapText="1"/>
    </xf>
    <xf numFmtId="49" fontId="2" fillId="8" borderId="4" xfId="0" applyNumberFormat="1" applyFont="1" applyFill="1" applyBorder="1" applyAlignment="1">
      <alignment horizontal="center" vertical="center" wrapText="1"/>
    </xf>
    <xf numFmtId="4" fontId="2" fillId="0" borderId="3" xfId="0" applyNumberFormat="1" applyFont="1" applyBorder="1" applyAlignment="1">
      <alignment horizontal="right" vertical="center" wrapText="1"/>
    </xf>
    <xf numFmtId="49" fontId="0" fillId="8" borderId="6" xfId="0" applyNumberFormat="1" applyFont="1" applyFill="1" applyBorder="1" applyAlignment="1">
      <alignment horizontal="center" vertical="center" wrapText="1"/>
    </xf>
    <xf numFmtId="0" fontId="2" fillId="0" borderId="0" xfId="0" applyNumberFormat="1" applyFont="1" applyAlignment="1">
      <alignment vertical="center" wrapText="1"/>
    </xf>
    <xf numFmtId="0" fontId="2" fillId="0" borderId="0" xfId="0" applyNumberFormat="1" applyFont="1" applyAlignment="1">
      <alignment vertical="center" wrapText="1"/>
    </xf>
    <xf numFmtId="4" fontId="20" fillId="0" borderId="3" xfId="0" applyNumberFormat="1" applyFont="1" applyBorder="1" applyAlignment="1">
      <alignment horizontal="center" vertical="center" wrapText="1"/>
    </xf>
    <xf numFmtId="0" fontId="0" fillId="0" borderId="0" xfId="0" applyNumberFormat="1" applyFont="1" applyAlignment="1">
      <alignment vertical="center"/>
    </xf>
    <xf numFmtId="0" fontId="0" fillId="0" borderId="3" xfId="0" applyNumberFormat="1" applyFont="1" applyBorder="1" applyAlignment="1">
      <alignment horizontal="left" vertical="center" wrapText="1" indent="1"/>
    </xf>
    <xf numFmtId="49" fontId="44" fillId="0" borderId="5" xfId="0" applyNumberFormat="1" applyFont="1" applyBorder="1" applyAlignment="1">
      <alignment horizontal="left" vertical="center" wrapText="1"/>
    </xf>
    <xf numFmtId="0" fontId="40" fillId="0" borderId="3" xfId="0" applyNumberFormat="1" applyFont="1" applyBorder="1" applyAlignment="1">
      <alignment horizontal="left" vertical="center" wrapText="1" indent="2"/>
    </xf>
    <xf numFmtId="49" fontId="40" fillId="0" borderId="3" xfId="0" applyNumberFormat="1" applyFont="1" applyBorder="1" applyAlignment="1">
      <alignment horizontal="center" vertical="center" wrapText="1"/>
    </xf>
    <xf numFmtId="0" fontId="45" fillId="0" borderId="0" xfId="0" applyNumberFormat="1" applyFont="1" applyAlignment="1">
      <alignment vertical="center" wrapText="1"/>
    </xf>
    <xf numFmtId="0" fontId="2" fillId="0" borderId="0" xfId="0" applyNumberFormat="1" applyFont="1">
      <alignment vertical="top"/>
    </xf>
    <xf numFmtId="0" fontId="2" fillId="0" borderId="0" xfId="0" applyNumberFormat="1" applyFont="1" applyAlignment="1">
      <alignment horizontal="right" vertical="top" wrapText="1"/>
    </xf>
    <xf numFmtId="0" fontId="2" fillId="0" borderId="8" xfId="0" applyNumberFormat="1" applyFont="1" applyBorder="1" applyAlignment="1">
      <alignment vertical="center" wrapText="1"/>
    </xf>
    <xf numFmtId="49" fontId="16" fillId="8" borderId="6" xfId="0" applyNumberFormat="1" applyFont="1" applyFill="1" applyBorder="1" applyAlignment="1">
      <alignment horizontal="center" vertical="top"/>
    </xf>
    <xf numFmtId="0" fontId="2" fillId="0" borderId="14" xfId="0" applyNumberFormat="1" applyFont="1" applyBorder="1" applyAlignment="1">
      <alignment vertical="top" wrapText="1"/>
    </xf>
    <xf numFmtId="0" fontId="0" fillId="0" borderId="0" xfId="0" applyNumberFormat="1" applyFont="1" applyAlignment="1">
      <alignment horizontal="left" vertical="top" wrapText="1"/>
    </xf>
    <xf numFmtId="0" fontId="2" fillId="0" borderId="8" xfId="0" applyNumberFormat="1" applyFont="1" applyBorder="1" applyAlignment="1">
      <alignment vertical="top" wrapText="1"/>
    </xf>
    <xf numFmtId="49" fontId="2" fillId="0" borderId="0" xfId="0" applyNumberFormat="1" applyFont="1">
      <alignment vertical="top"/>
    </xf>
    <xf numFmtId="0" fontId="11" fillId="0" borderId="0" xfId="0" applyNumberFormat="1" applyFont="1" applyAlignment="1">
      <alignment vertical="center" wrapText="1"/>
    </xf>
    <xf numFmtId="0" fontId="2" fillId="0" borderId="3" xfId="0" applyNumberFormat="1" applyFont="1" applyBorder="1" applyAlignment="1">
      <alignment vertical="center" wrapText="1"/>
    </xf>
    <xf numFmtId="49" fontId="2" fillId="0" borderId="0" xfId="0" applyNumberFormat="1" applyFont="1" applyAlignment="1">
      <alignment horizontal="center" vertical="center" wrapText="1"/>
    </xf>
    <xf numFmtId="0" fontId="2" fillId="8" borderId="5" xfId="0" applyNumberFormat="1" applyFont="1" applyFill="1" applyBorder="1" applyAlignment="1">
      <alignment vertical="center" wrapText="1"/>
    </xf>
    <xf numFmtId="0" fontId="2" fillId="10" borderId="3" xfId="0" applyNumberFormat="1" applyFont="1" applyFill="1" applyBorder="1" applyAlignment="1" applyProtection="1">
      <alignment horizontal="left" vertical="center" wrapText="1" indent="1"/>
      <protection locked="0"/>
    </xf>
    <xf numFmtId="49" fontId="12" fillId="8" borderId="6" xfId="0" applyNumberFormat="1" applyFont="1" applyFill="1" applyBorder="1" applyAlignment="1">
      <alignment horizontal="left" vertical="center" indent="2"/>
    </xf>
    <xf numFmtId="0" fontId="20" fillId="0" borderId="0" xfId="0" applyNumberFormat="1" applyFont="1" applyAlignment="1">
      <alignment vertical="center"/>
    </xf>
    <xf numFmtId="0" fontId="46" fillId="0" borderId="0" xfId="0" applyNumberFormat="1" applyFont="1" applyAlignment="1">
      <alignment vertical="center" wrapText="1"/>
    </xf>
    <xf numFmtId="0" fontId="14" fillId="6" borderId="0" xfId="0" applyNumberFormat="1" applyFont="1" applyFill="1" applyAlignment="1">
      <alignment horizontal="center" vertical="center" wrapText="1"/>
    </xf>
    <xf numFmtId="0" fontId="2" fillId="0" borderId="15" xfId="0" applyNumberFormat="1" applyFont="1" applyBorder="1" applyAlignment="1">
      <alignment vertical="center" wrapText="1"/>
    </xf>
    <xf numFmtId="0" fontId="8" fillId="0" borderId="0" xfId="0" applyNumberFormat="1" applyFont="1" applyAlignment="1">
      <alignment vertical="center" wrapText="1"/>
    </xf>
    <xf numFmtId="49" fontId="2" fillId="0" borderId="15" xfId="0" applyNumberFormat="1" applyFont="1" applyBorder="1">
      <alignment vertical="top"/>
    </xf>
    <xf numFmtId="0" fontId="20" fillId="0" borderId="15" xfId="0" applyNumberFormat="1" applyFont="1" applyBorder="1" applyAlignment="1">
      <alignment horizontal="center" vertical="center" wrapText="1"/>
    </xf>
    <xf numFmtId="0" fontId="20" fillId="0" borderId="15" xfId="0" applyNumberFormat="1" applyFont="1" applyBorder="1" applyAlignment="1">
      <alignment vertical="center" wrapText="1"/>
    </xf>
    <xf numFmtId="49" fontId="3" fillId="0" borderId="0" xfId="0" applyNumberFormat="1" applyFont="1">
      <alignment vertical="top"/>
    </xf>
    <xf numFmtId="49" fontId="0" fillId="0" borderId="15" xfId="0" applyNumberFormat="1" applyFont="1" applyBorder="1">
      <alignment vertical="top"/>
    </xf>
    <xf numFmtId="49" fontId="2" fillId="0" borderId="0" xfId="0" applyNumberFormat="1" applyFont="1">
      <alignment vertical="top"/>
    </xf>
    <xf numFmtId="49" fontId="2" fillId="0" borderId="0" xfId="0" applyNumberFormat="1" applyFont="1" applyAlignment="1">
      <alignment vertical="center" wrapText="1"/>
    </xf>
    <xf numFmtId="0" fontId="8" fillId="6" borderId="0" xfId="0" applyNumberFormat="1" applyFont="1" applyFill="1" applyAlignment="1">
      <alignment vertical="center" wrapText="1"/>
    </xf>
    <xf numFmtId="0" fontId="3" fillId="0" borderId="0" xfId="0" applyNumberFormat="1" applyFont="1" applyAlignment="1">
      <alignment horizontal="center" vertical="center" wrapText="1"/>
    </xf>
    <xf numFmtId="0" fontId="3" fillId="0" borderId="0" xfId="0" applyNumberFormat="1" applyFont="1" applyAlignment="1">
      <alignment vertical="center" wrapText="1"/>
    </xf>
    <xf numFmtId="0" fontId="2" fillId="6" borderId="0" xfId="0" applyNumberFormat="1" applyFont="1" applyFill="1" applyAlignment="1">
      <alignment vertical="center" wrapText="1"/>
    </xf>
    <xf numFmtId="49" fontId="12" fillId="8" borderId="6" xfId="0" applyNumberFormat="1" applyFont="1" applyFill="1" applyBorder="1" applyAlignment="1">
      <alignment horizontal="left" vertical="center" indent="2"/>
    </xf>
    <xf numFmtId="49" fontId="12" fillId="8" borderId="6" xfId="0" applyNumberFormat="1" applyFont="1" applyFill="1" applyBorder="1" applyAlignment="1">
      <alignment horizontal="left" vertical="center" indent="4"/>
    </xf>
    <xf numFmtId="49" fontId="2" fillId="0" borderId="0" xfId="0" applyNumberFormat="1" applyFont="1" applyAlignment="1">
      <alignment vertical="center"/>
    </xf>
    <xf numFmtId="49" fontId="0" fillId="8" borderId="6" xfId="0" applyNumberFormat="1" applyFont="1" applyFill="1" applyBorder="1" applyAlignment="1">
      <alignment horizontal="center" vertical="center" wrapText="1"/>
    </xf>
    <xf numFmtId="49" fontId="2" fillId="8" borderId="6" xfId="0" applyNumberFormat="1" applyFont="1" applyFill="1" applyBorder="1" applyAlignment="1">
      <alignment horizontal="center" vertical="center" wrapText="1"/>
    </xf>
    <xf numFmtId="0" fontId="20" fillId="0" borderId="0" xfId="0" applyNumberFormat="1" applyFont="1" applyAlignment="1">
      <alignment vertical="center"/>
    </xf>
    <xf numFmtId="0" fontId="2" fillId="0" borderId="0" xfId="0" applyNumberFormat="1" applyFont="1" applyAlignment="1">
      <alignment vertical="top" wrapText="1"/>
    </xf>
    <xf numFmtId="49" fontId="2" fillId="0" borderId="3" xfId="0" applyNumberFormat="1" applyFont="1" applyBorder="1" applyAlignment="1">
      <alignment horizontal="right" vertical="top"/>
    </xf>
    <xf numFmtId="49" fontId="2" fillId="0" borderId="8" xfId="0" applyNumberFormat="1" applyFont="1" applyBorder="1" applyAlignment="1">
      <alignment horizontal="right" vertical="top"/>
    </xf>
    <xf numFmtId="49" fontId="12" fillId="8" borderId="6" xfId="0" applyNumberFormat="1" applyFont="1" applyFill="1" applyBorder="1" applyAlignment="1">
      <alignment horizontal="left" vertical="center" indent="3"/>
    </xf>
    <xf numFmtId="0" fontId="2" fillId="0" borderId="0" xfId="0" applyNumberFormat="1" applyFont="1" applyAlignment="1">
      <alignment vertical="center" wrapText="1"/>
    </xf>
    <xf numFmtId="49" fontId="3" fillId="0" borderId="0" xfId="0" applyNumberFormat="1" applyFont="1">
      <alignment vertical="top"/>
    </xf>
    <xf numFmtId="49" fontId="11" fillId="0" borderId="0" xfId="0" applyNumberFormat="1" applyFont="1">
      <alignment vertical="top"/>
    </xf>
    <xf numFmtId="0" fontId="11" fillId="6" borderId="0" xfId="0" applyNumberFormat="1" applyFont="1" applyFill="1" applyAlignment="1">
      <alignment vertical="center" wrapText="1"/>
    </xf>
    <xf numFmtId="49" fontId="2" fillId="0" borderId="0" xfId="0" applyNumberFormat="1" applyFont="1">
      <alignment vertical="top"/>
    </xf>
    <xf numFmtId="49" fontId="2" fillId="10" borderId="3" xfId="0" applyNumberFormat="1" applyFont="1" applyFill="1" applyBorder="1" applyAlignment="1" applyProtection="1">
      <alignment horizontal="left" vertical="center" wrapText="1" indent="4"/>
      <protection locked="0"/>
    </xf>
    <xf numFmtId="49" fontId="2" fillId="10" borderId="3" xfId="0" applyNumberFormat="1" applyFont="1" applyFill="1" applyBorder="1" applyAlignment="1" applyProtection="1">
      <alignment horizontal="left" vertical="center" wrapText="1"/>
      <protection locked="0"/>
    </xf>
    <xf numFmtId="49" fontId="2" fillId="7" borderId="3" xfId="0" applyNumberFormat="1" applyFont="1" applyFill="1" applyBorder="1" applyAlignment="1" applyProtection="1">
      <alignment horizontal="left" vertical="center" wrapText="1"/>
      <protection locked="0"/>
    </xf>
    <xf numFmtId="4" fontId="0" fillId="10" borderId="3" xfId="0" applyNumberFormat="1" applyFont="1" applyFill="1" applyBorder="1" applyAlignment="1" applyProtection="1">
      <alignment horizontal="right" vertical="center" wrapText="1"/>
      <protection locked="0"/>
    </xf>
    <xf numFmtId="49" fontId="20" fillId="0" borderId="0" xfId="0" applyNumberFormat="1" applyFont="1">
      <alignment vertical="top"/>
    </xf>
    <xf numFmtId="49" fontId="20" fillId="0" borderId="0" xfId="0" applyNumberFormat="1" applyFont="1" applyAlignment="1">
      <alignment vertical="center" wrapText="1"/>
    </xf>
    <xf numFmtId="49" fontId="20" fillId="0" borderId="0" xfId="0" applyNumberFormat="1" applyFont="1">
      <alignment vertical="top"/>
    </xf>
    <xf numFmtId="49" fontId="20" fillId="0" borderId="0" xfId="0" applyNumberFormat="1" applyFont="1" applyAlignment="1">
      <alignment vertical="center"/>
    </xf>
    <xf numFmtId="49" fontId="2" fillId="10" borderId="3" xfId="0" applyNumberFormat="1" applyFont="1" applyFill="1" applyBorder="1" applyAlignment="1" applyProtection="1">
      <alignment horizontal="left" vertical="center" wrapText="1"/>
      <protection locked="0"/>
    </xf>
    <xf numFmtId="49" fontId="26" fillId="10" borderId="3" xfId="0" applyNumberFormat="1" applyFont="1" applyFill="1" applyBorder="1" applyAlignment="1" applyProtection="1">
      <alignment horizontal="left" vertical="center" wrapText="1"/>
      <protection locked="0"/>
    </xf>
    <xf numFmtId="49" fontId="0" fillId="0" borderId="16" xfId="0" applyNumberFormat="1" applyFont="1" applyBorder="1" applyAlignment="1">
      <alignment horizontal="center" vertical="center"/>
    </xf>
    <xf numFmtId="169" fontId="2" fillId="0" borderId="3" xfId="0" applyNumberFormat="1" applyFont="1" applyBorder="1" applyAlignment="1">
      <alignment horizontal="right" vertical="center" wrapText="1"/>
    </xf>
    <xf numFmtId="49" fontId="26" fillId="10" borderId="5" xfId="0" applyNumberFormat="1" applyFont="1" applyFill="1" applyBorder="1" applyAlignment="1" applyProtection="1">
      <alignment horizontal="left" vertical="center" wrapText="1"/>
      <protection locked="0"/>
    </xf>
    <xf numFmtId="0" fontId="2" fillId="6" borderId="3" xfId="0" applyNumberFormat="1" applyFont="1" applyFill="1" applyBorder="1" applyAlignment="1">
      <alignment horizontal="center" vertical="center" wrapText="1"/>
    </xf>
    <xf numFmtId="0" fontId="8" fillId="6" borderId="0" xfId="0" applyNumberFormat="1" applyFont="1" applyFill="1" applyAlignment="1">
      <alignment horizontal="center" vertical="center" wrapText="1"/>
    </xf>
    <xf numFmtId="0" fontId="0" fillId="0" borderId="3" xfId="0" applyNumberFormat="1" applyFont="1" applyBorder="1" applyAlignment="1">
      <alignment horizontal="left" vertical="center" wrapText="1"/>
    </xf>
    <xf numFmtId="0" fontId="2" fillId="6" borderId="0" xfId="0" applyNumberFormat="1" applyFont="1" applyFill="1" applyAlignment="1">
      <alignment horizontal="center" vertical="center" wrapText="1"/>
    </xf>
    <xf numFmtId="0" fontId="22" fillId="0" borderId="0" xfId="0" applyNumberFormat="1" applyFont="1" applyAlignment="1">
      <alignment vertical="top" wrapText="1"/>
    </xf>
    <xf numFmtId="0" fontId="2" fillId="6" borderId="17" xfId="0" applyNumberFormat="1" applyFont="1" applyFill="1" applyBorder="1" applyAlignment="1">
      <alignment horizontal="right" vertical="center" wrapText="1" indent="1"/>
    </xf>
    <xf numFmtId="0" fontId="0" fillId="6" borderId="17" xfId="0" applyNumberFormat="1" applyFont="1" applyFill="1" applyBorder="1" applyAlignment="1">
      <alignment horizontal="right" vertical="center" wrapText="1" indent="1"/>
    </xf>
    <xf numFmtId="0" fontId="2" fillId="0" borderId="0" xfId="0" applyNumberFormat="1" applyFont="1" applyAlignment="1">
      <alignment horizontal="left" vertical="center" wrapText="1" indent="4"/>
    </xf>
    <xf numFmtId="0" fontId="2" fillId="6" borderId="0" xfId="0" applyNumberFormat="1" applyFont="1" applyFill="1" applyAlignment="1">
      <alignment horizontal="center" vertical="center" wrapText="1"/>
    </xf>
    <xf numFmtId="49" fontId="12" fillId="8" borderId="6" xfId="0" applyNumberFormat="1" applyFont="1" applyFill="1" applyBorder="1" applyAlignment="1">
      <alignment horizontal="left" vertical="center"/>
    </xf>
    <xf numFmtId="0" fontId="2" fillId="0" borderId="10" xfId="0" applyNumberFormat="1" applyFont="1" applyBorder="1" applyAlignment="1">
      <alignment vertical="center" wrapText="1"/>
    </xf>
    <xf numFmtId="0" fontId="2" fillId="0" borderId="0" xfId="0" applyNumberFormat="1" applyFont="1" applyAlignment="1">
      <alignment horizontal="left" vertical="center" wrapText="1" indent="1"/>
    </xf>
    <xf numFmtId="0" fontId="45" fillId="0" borderId="0" xfId="0" applyNumberFormat="1" applyFont="1" applyAlignment="1">
      <alignment vertical="center" wrapText="1"/>
    </xf>
    <xf numFmtId="49" fontId="0" fillId="6" borderId="5" xfId="0" applyNumberFormat="1" applyFont="1" applyFill="1" applyBorder="1" applyAlignment="1">
      <alignment horizontal="center" vertical="center" wrapText="1"/>
    </xf>
    <xf numFmtId="0" fontId="2" fillId="8" borderId="18" xfId="0" applyNumberFormat="1" applyFont="1" applyFill="1" applyBorder="1" applyAlignment="1">
      <alignment vertical="center" wrapText="1"/>
    </xf>
    <xf numFmtId="49" fontId="12" fillId="8" borderId="19" xfId="0" applyNumberFormat="1" applyFont="1" applyFill="1" applyBorder="1" applyAlignment="1">
      <alignment horizontal="left" vertical="center" indent="2"/>
    </xf>
    <xf numFmtId="49" fontId="26" fillId="7" borderId="3" xfId="0" applyNumberFormat="1" applyFont="1" applyFill="1" applyBorder="1" applyAlignment="1" applyProtection="1">
      <alignment horizontal="left" vertical="center" wrapText="1"/>
      <protection locked="0"/>
    </xf>
    <xf numFmtId="49" fontId="2" fillId="0" borderId="10" xfId="0" applyNumberFormat="1" applyFont="1" applyBorder="1">
      <alignment vertical="top"/>
    </xf>
    <xf numFmtId="49" fontId="43" fillId="8" borderId="4" xfId="0" applyNumberFormat="1" applyFont="1" applyFill="1" applyBorder="1" applyAlignment="1">
      <alignment horizontal="left" vertical="center" indent="1"/>
    </xf>
    <xf numFmtId="49" fontId="43" fillId="8" borderId="6" xfId="0" applyNumberFormat="1" applyFont="1" applyFill="1" applyBorder="1" applyAlignment="1">
      <alignment horizontal="left" vertical="center" indent="1"/>
    </xf>
    <xf numFmtId="49" fontId="22" fillId="8" borderId="5" xfId="0" applyNumberFormat="1" applyFont="1" applyFill="1" applyBorder="1" applyAlignment="1">
      <alignment horizontal="center" vertical="center"/>
    </xf>
    <xf numFmtId="49" fontId="43" fillId="8" borderId="6" xfId="0" applyNumberFormat="1" applyFont="1" applyFill="1" applyBorder="1" applyAlignment="1">
      <alignment vertical="center"/>
    </xf>
    <xf numFmtId="0" fontId="0" fillId="12" borderId="3" xfId="0" applyNumberFormat="1" applyFont="1" applyFill="1" applyBorder="1" applyAlignment="1">
      <alignment horizontal="right" vertical="center"/>
    </xf>
    <xf numFmtId="0" fontId="4" fillId="0" borderId="0" xfId="0" applyNumberFormat="1" applyFont="1" applyAlignment="1">
      <alignment vertical="center" wrapText="1"/>
    </xf>
    <xf numFmtId="0" fontId="2" fillId="0" borderId="0" xfId="0" applyNumberFormat="1" applyFont="1" applyAlignment="1">
      <alignment vertical="center" wrapText="1"/>
    </xf>
    <xf numFmtId="0" fontId="5" fillId="6" borderId="0" xfId="0" applyNumberFormat="1" applyFont="1" applyFill="1" applyAlignment="1">
      <alignment vertical="center" wrapText="1"/>
    </xf>
    <xf numFmtId="0" fontId="3" fillId="0" borderId="0" xfId="0" applyNumberFormat="1" applyFont="1" applyAlignment="1">
      <alignment horizontal="center" vertical="center" wrapText="1"/>
    </xf>
    <xf numFmtId="0" fontId="0" fillId="0" borderId="0" xfId="0" applyNumberFormat="1" applyFont="1" applyAlignment="1">
      <alignment vertical="center" wrapText="1"/>
    </xf>
    <xf numFmtId="0" fontId="3" fillId="0" borderId="0" xfId="0" applyNumberFormat="1" applyFont="1" applyAlignment="1">
      <alignment horizontal="left" vertical="center" wrapText="1"/>
    </xf>
    <xf numFmtId="0" fontId="0" fillId="0" borderId="3" xfId="0" applyNumberFormat="1" applyFont="1" applyBorder="1" applyAlignment="1">
      <alignment horizontal="center" vertical="center" wrapText="1"/>
    </xf>
    <xf numFmtId="49" fontId="12" fillId="8" borderId="6" xfId="0" applyNumberFormat="1" applyFont="1" applyFill="1" applyBorder="1" applyAlignment="1">
      <alignment horizontal="left" vertical="center" indent="1"/>
    </xf>
    <xf numFmtId="49" fontId="12" fillId="8" borderId="6" xfId="0" applyNumberFormat="1" applyFont="1" applyFill="1" applyBorder="1" applyAlignment="1">
      <alignment horizontal="left" vertical="center"/>
    </xf>
    <xf numFmtId="0" fontId="19" fillId="0" borderId="0" xfId="0" applyNumberFormat="1" applyFont="1" applyAlignment="1">
      <alignment vertical="center" wrapText="1"/>
    </xf>
    <xf numFmtId="49" fontId="20" fillId="0" borderId="0" xfId="0" applyNumberFormat="1" applyFont="1">
      <alignment vertical="top"/>
    </xf>
    <xf numFmtId="0" fontId="47" fillId="0" borderId="0" xfId="0" applyNumberFormat="1" applyFont="1" applyAlignment="1">
      <alignment vertical="center" wrapText="1"/>
    </xf>
    <xf numFmtId="49" fontId="22" fillId="8" borderId="5" xfId="0" applyNumberFormat="1" applyFont="1" applyFill="1" applyBorder="1" applyAlignment="1">
      <alignment horizontal="right" vertical="center" wrapText="1"/>
    </xf>
    <xf numFmtId="49" fontId="19" fillId="0" borderId="0" xfId="0" applyNumberFormat="1" applyFont="1">
      <alignment vertical="top"/>
    </xf>
    <xf numFmtId="49" fontId="0" fillId="8" borderId="4" xfId="0" applyNumberFormat="1" applyFont="1" applyFill="1" applyBorder="1" applyAlignment="1">
      <alignment horizontal="right" vertical="center" wrapText="1"/>
    </xf>
    <xf numFmtId="0" fontId="0" fillId="0" borderId="3" xfId="0" applyNumberFormat="1" applyFont="1" applyBorder="1" applyAlignment="1">
      <alignment horizontal="center" vertical="center" wrapText="1"/>
    </xf>
    <xf numFmtId="0" fontId="31" fillId="0" borderId="0" xfId="0" applyNumberFormat="1" applyFont="1" applyAlignment="1">
      <alignment horizontal="left" vertical="center" wrapText="1"/>
    </xf>
    <xf numFmtId="0" fontId="32" fillId="0" borderId="0" xfId="0" applyNumberFormat="1" applyFont="1" applyAlignment="1">
      <alignment vertical="center" wrapText="1"/>
    </xf>
    <xf numFmtId="0" fontId="33" fillId="6" borderId="0" xfId="0" applyNumberFormat="1" applyFont="1" applyFill="1" applyAlignment="1">
      <alignment vertical="center" wrapText="1"/>
    </xf>
    <xf numFmtId="0" fontId="34" fillId="6" borderId="0" xfId="0" applyNumberFormat="1" applyFont="1" applyFill="1" applyAlignment="1">
      <alignment horizontal="right" vertical="center" wrapText="1" indent="1"/>
    </xf>
    <xf numFmtId="0" fontId="0" fillId="0" borderId="5" xfId="0" applyNumberFormat="1" applyFont="1" applyBorder="1" applyAlignment="1">
      <alignment horizontal="center" vertical="center" wrapText="1"/>
    </xf>
    <xf numFmtId="0" fontId="0" fillId="7" borderId="3" xfId="0" applyNumberFormat="1" applyFont="1" applyFill="1" applyBorder="1" applyAlignment="1" applyProtection="1">
      <alignment horizontal="right" vertical="center" wrapText="1"/>
      <protection locked="0"/>
    </xf>
    <xf numFmtId="3" fontId="0" fillId="10" borderId="4" xfId="0" applyNumberFormat="1" applyFont="1" applyFill="1" applyBorder="1" applyAlignment="1" applyProtection="1">
      <alignment horizontal="right" vertical="center" wrapText="1"/>
      <protection locked="0"/>
    </xf>
    <xf numFmtId="3" fontId="0" fillId="10" borderId="3" xfId="0" applyNumberFormat="1" applyFont="1" applyFill="1" applyBorder="1" applyAlignment="1" applyProtection="1">
      <alignment horizontal="right" vertical="center" wrapText="1"/>
      <protection locked="0"/>
    </xf>
    <xf numFmtId="49" fontId="0" fillId="0" borderId="3" xfId="0" applyNumberFormat="1" applyFont="1" applyBorder="1" applyAlignment="1">
      <alignment horizontal="center" vertical="center" wrapText="1"/>
    </xf>
    <xf numFmtId="49" fontId="0" fillId="0" borderId="3" xfId="0" applyNumberFormat="1" applyFont="1" applyBorder="1" applyAlignment="1">
      <alignment vertical="top" wrapText="1"/>
    </xf>
    <xf numFmtId="0" fontId="0" fillId="6" borderId="5" xfId="0" applyNumberFormat="1" applyFont="1" applyFill="1" applyBorder="1" applyAlignment="1">
      <alignment horizontal="left" vertical="center" wrapText="1" indent="1"/>
    </xf>
    <xf numFmtId="0" fontId="0" fillId="6" borderId="8" xfId="0" applyNumberFormat="1" applyFont="1" applyFill="1" applyBorder="1" applyAlignment="1">
      <alignment horizontal="left" vertical="center" wrapText="1"/>
    </xf>
    <xf numFmtId="0" fontId="0" fillId="6" borderId="3" xfId="0" applyNumberFormat="1" applyFont="1" applyFill="1" applyBorder="1" applyAlignment="1">
      <alignment horizontal="left" vertical="center" wrapText="1"/>
    </xf>
    <xf numFmtId="0" fontId="0" fillId="6" borderId="3" xfId="0" applyNumberFormat="1" applyFont="1" applyFill="1" applyBorder="1" applyAlignment="1">
      <alignment horizontal="left" vertical="center" wrapText="1" indent="2"/>
    </xf>
    <xf numFmtId="0" fontId="0" fillId="6" borderId="3" xfId="0" applyNumberFormat="1" applyFont="1" applyFill="1" applyBorder="1" applyAlignment="1">
      <alignment horizontal="center" vertical="center"/>
    </xf>
    <xf numFmtId="49" fontId="0" fillId="10" borderId="3" xfId="0" applyNumberFormat="1" applyFont="1" applyFill="1" applyBorder="1" applyAlignment="1" applyProtection="1">
      <alignment horizontal="left" vertical="center" wrapText="1"/>
      <protection locked="0"/>
    </xf>
    <xf numFmtId="0" fontId="0" fillId="6" borderId="3" xfId="0" applyNumberFormat="1" applyFont="1" applyFill="1" applyBorder="1" applyAlignment="1">
      <alignment horizontal="left" vertical="center" wrapText="1" indent="1"/>
    </xf>
    <xf numFmtId="0" fontId="0" fillId="0" borderId="3" xfId="0" applyNumberFormat="1" applyFont="1" applyBorder="1" applyAlignment="1">
      <alignment horizontal="center" vertical="center" wrapText="1"/>
    </xf>
    <xf numFmtId="0" fontId="0" fillId="6" borderId="3" xfId="0" applyNumberFormat="1" applyFont="1" applyFill="1" applyBorder="1" applyAlignment="1">
      <alignment vertical="center" wrapText="1"/>
    </xf>
    <xf numFmtId="49" fontId="0" fillId="6" borderId="3" xfId="0" applyNumberFormat="1" applyFont="1" applyFill="1" applyBorder="1" applyAlignment="1">
      <alignment horizontal="center" vertical="center"/>
    </xf>
    <xf numFmtId="0" fontId="0" fillId="6" borderId="3" xfId="0" applyNumberFormat="1" applyFont="1" applyFill="1" applyBorder="1" applyAlignment="1">
      <alignment horizontal="center" vertical="center" wrapText="1"/>
    </xf>
    <xf numFmtId="0" fontId="2" fillId="0" borderId="0" xfId="0" applyNumberFormat="1" applyFont="1" applyAlignment="1">
      <alignment vertical="center" wrapText="1"/>
    </xf>
    <xf numFmtId="49" fontId="7" fillId="6" borderId="0" xfId="0" applyNumberFormat="1" applyFont="1" applyFill="1" applyAlignment="1">
      <alignment horizontal="center" vertical="center" wrapText="1"/>
    </xf>
    <xf numFmtId="0" fontId="8" fillId="6" borderId="0" xfId="0" applyNumberFormat="1" applyFont="1" applyFill="1" applyAlignment="1">
      <alignment horizontal="center" vertical="center" wrapText="1"/>
    </xf>
    <xf numFmtId="0" fontId="8" fillId="0" borderId="0" xfId="0" applyNumberFormat="1" applyFont="1" applyAlignment="1">
      <alignment horizontal="center" vertical="center" wrapText="1"/>
    </xf>
    <xf numFmtId="0" fontId="18" fillId="0" borderId="0" xfId="0" applyNumberFormat="1" applyFont="1" applyAlignment="1">
      <alignment horizontal="center" vertical="center" wrapText="1"/>
    </xf>
    <xf numFmtId="0" fontId="17" fillId="0" borderId="0" xfId="0" applyNumberFormat="1" applyFont="1" applyAlignment="1">
      <alignment vertical="center" wrapText="1"/>
    </xf>
    <xf numFmtId="0" fontId="0" fillId="6" borderId="0" xfId="0" applyNumberFormat="1" applyFont="1" applyFill="1" applyAlignment="1"/>
    <xf numFmtId="0" fontId="0" fillId="6" borderId="0" xfId="0" applyNumberFormat="1" applyFont="1" applyFill="1" applyAlignment="1">
      <alignment horizontal="center"/>
    </xf>
    <xf numFmtId="0" fontId="2" fillId="6" borderId="0" xfId="0" applyNumberFormat="1" applyFont="1" applyFill="1" applyAlignment="1">
      <alignment vertical="center" wrapText="1"/>
    </xf>
    <xf numFmtId="0" fontId="48" fillId="6" borderId="0" xfId="0" applyNumberFormat="1" applyFont="1" applyFill="1" applyAlignment="1">
      <alignment horizontal="center"/>
    </xf>
    <xf numFmtId="0" fontId="48" fillId="6" borderId="0" xfId="0" applyNumberFormat="1" applyFont="1" applyFill="1" applyAlignment="1"/>
    <xf numFmtId="0" fontId="49" fillId="6" borderId="0" xfId="0" applyNumberFormat="1" applyFont="1" applyFill="1" applyAlignment="1"/>
    <xf numFmtId="0" fontId="50" fillId="6" borderId="0" xfId="0" applyNumberFormat="1" applyFont="1" applyFill="1" applyAlignment="1">
      <alignment horizontal="right" vertical="center"/>
    </xf>
    <xf numFmtId="0" fontId="50" fillId="6" borderId="0" xfId="0" applyNumberFormat="1" applyFont="1" applyFill="1" applyAlignment="1">
      <alignment horizontal="right" vertical="top"/>
    </xf>
    <xf numFmtId="0" fontId="2" fillId="6" borderId="0" xfId="0" applyNumberFormat="1" applyFont="1" applyFill="1" applyAlignment="1">
      <alignment horizontal="center" vertical="center" wrapText="1"/>
    </xf>
    <xf numFmtId="0" fontId="7" fillId="6" borderId="0" xfId="0" applyNumberFormat="1" applyFont="1" applyFill="1" applyAlignment="1">
      <alignment horizontal="center" vertical="center"/>
    </xf>
    <xf numFmtId="0" fontId="2" fillId="0" borderId="3" xfId="0" applyNumberFormat="1" applyFont="1" applyBorder="1" applyAlignment="1">
      <alignment horizontal="center" vertical="center" wrapText="1"/>
    </xf>
    <xf numFmtId="0" fontId="17" fillId="0" borderId="0" xfId="0" applyNumberFormat="1" applyFont="1" applyAlignment="1">
      <alignment vertical="top" wrapText="1"/>
    </xf>
    <xf numFmtId="0" fontId="2" fillId="8" borderId="5" xfId="0" applyNumberFormat="1" applyFont="1" applyFill="1" applyBorder="1" applyAlignment="1">
      <alignment horizontal="center"/>
    </xf>
    <xf numFmtId="0" fontId="43" fillId="8" borderId="6" xfId="0" applyNumberFormat="1" applyFont="1" applyFill="1" applyBorder="1" applyAlignment="1">
      <alignment horizontal="left" vertical="center"/>
    </xf>
    <xf numFmtId="0" fontId="43" fillId="8" borderId="4" xfId="0" applyNumberFormat="1" applyFont="1" applyFill="1" applyBorder="1" applyAlignment="1">
      <alignment horizontal="left" vertical="center"/>
    </xf>
    <xf numFmtId="0" fontId="51" fillId="6" borderId="0" xfId="0" applyNumberFormat="1" applyFont="1" applyFill="1" applyAlignment="1">
      <alignment vertical="center"/>
    </xf>
    <xf numFmtId="0" fontId="51" fillId="6" borderId="0" xfId="0" applyNumberFormat="1" applyFont="1" applyFill="1" applyAlignment="1">
      <alignment vertical="center" wrapText="1"/>
    </xf>
    <xf numFmtId="49" fontId="2" fillId="6" borderId="3" xfId="0" applyNumberFormat="1" applyFont="1" applyFill="1" applyBorder="1" applyAlignment="1">
      <alignment horizontal="center" vertical="center" wrapText="1"/>
    </xf>
    <xf numFmtId="0" fontId="2" fillId="6" borderId="3" xfId="0" applyNumberFormat="1" applyFont="1" applyFill="1" applyBorder="1" applyAlignment="1">
      <alignment horizontal="center" vertical="center" wrapText="1"/>
    </xf>
    <xf numFmtId="0" fontId="2" fillId="6" borderId="3" xfId="0" applyNumberFormat="1" applyFont="1" applyFill="1" applyBorder="1" applyAlignment="1">
      <alignment vertical="center" wrapText="1"/>
    </xf>
    <xf numFmtId="0" fontId="38" fillId="6" borderId="0" xfId="0" applyNumberFormat="1" applyFont="1" applyFill="1" applyAlignment="1"/>
    <xf numFmtId="0" fontId="24" fillId="6" borderId="0" xfId="0" applyNumberFormat="1" applyFont="1" applyFill="1" applyAlignment="1"/>
    <xf numFmtId="0" fontId="34" fillId="6" borderId="0" xfId="0" applyNumberFormat="1" applyFont="1" applyFill="1" applyAlignment="1"/>
    <xf numFmtId="0" fontId="34" fillId="6" borderId="0" xfId="0" applyNumberFormat="1" applyFont="1" applyFill="1" applyAlignment="1">
      <alignment horizontal="center"/>
    </xf>
    <xf numFmtId="0" fontId="31" fillId="0" borderId="0" xfId="0" applyNumberFormat="1" applyFont="1" applyAlignment="1">
      <alignment vertical="center" wrapText="1"/>
    </xf>
    <xf numFmtId="0" fontId="33" fillId="0" borderId="0" xfId="0" applyNumberFormat="1" applyFont="1" applyAlignment="1">
      <alignment vertical="center" wrapText="1"/>
    </xf>
    <xf numFmtId="0" fontId="33" fillId="6" borderId="0" xfId="0" applyNumberFormat="1" applyFont="1" applyFill="1" applyAlignment="1">
      <alignment vertical="center" wrapText="1"/>
    </xf>
    <xf numFmtId="0" fontId="33" fillId="6" borderId="0" xfId="0" applyNumberFormat="1" applyFont="1" applyFill="1" applyAlignment="1">
      <alignment horizontal="right" vertical="center"/>
    </xf>
    <xf numFmtId="0" fontId="33" fillId="6" borderId="0" xfId="0" applyNumberFormat="1" applyFont="1" applyFill="1" applyAlignment="1">
      <alignment horizontal="right" vertical="center" wrapText="1"/>
    </xf>
    <xf numFmtId="4" fontId="33" fillId="0" borderId="0" xfId="0" applyNumberFormat="1" applyFont="1" applyAlignment="1">
      <alignment horizontal="right" vertical="center" wrapText="1"/>
    </xf>
    <xf numFmtId="0" fontId="33" fillId="0" borderId="0" xfId="0" applyNumberFormat="1" applyFont="1" applyAlignment="1">
      <alignment horizontal="left" vertical="center" wrapText="1" indent="1"/>
    </xf>
    <xf numFmtId="0" fontId="52" fillId="6" borderId="0" xfId="0" applyNumberFormat="1" applyFont="1" applyFill="1" applyAlignment="1">
      <alignment horizontal="center" vertical="center" wrapText="1"/>
    </xf>
    <xf numFmtId="0" fontId="7" fillId="6" borderId="0" xfId="0" applyNumberFormat="1" applyFont="1" applyFill="1" applyAlignment="1">
      <alignment horizontal="center" vertical="center" wrapText="1"/>
    </xf>
    <xf numFmtId="0" fontId="37" fillId="0" borderId="0" xfId="0" applyNumberFormat="1" applyFont="1" applyAlignment="1">
      <alignment vertical="center" wrapText="1"/>
    </xf>
    <xf numFmtId="0" fontId="20" fillId="0" borderId="0" xfId="0" applyNumberFormat="1" applyFont="1" applyAlignment="1">
      <alignment vertical="center" wrapText="1"/>
    </xf>
    <xf numFmtId="49" fontId="2" fillId="11" borderId="3" xfId="0" applyNumberFormat="1" applyFont="1" applyFill="1" applyBorder="1" applyAlignment="1">
      <alignment horizontal="left" vertical="center" wrapText="1"/>
    </xf>
    <xf numFmtId="0" fontId="37" fillId="0" borderId="0" xfId="0" applyNumberFormat="1" applyFont="1" applyAlignment="1">
      <alignment horizontal="center" vertical="center" wrapText="1"/>
    </xf>
    <xf numFmtId="0" fontId="2" fillId="6" borderId="15" xfId="0" applyNumberFormat="1" applyFont="1" applyFill="1" applyBorder="1" applyAlignment="1">
      <alignment vertical="center" wrapText="1"/>
    </xf>
    <xf numFmtId="49" fontId="7" fillId="6" borderId="6" xfId="0" applyNumberFormat="1" applyFont="1" applyFill="1" applyBorder="1" applyAlignment="1">
      <alignment horizontal="center" vertical="center" wrapText="1"/>
    </xf>
    <xf numFmtId="0" fontId="20" fillId="0" borderId="0" xfId="0" applyNumberFormat="1" applyFont="1" applyAlignment="1">
      <alignment horizontal="center" vertical="center" wrapText="1"/>
    </xf>
    <xf numFmtId="0" fontId="52" fillId="0" borderId="0" xfId="0" applyNumberFormat="1" applyFont="1" applyAlignment="1">
      <alignment horizontal="center" vertical="center" wrapText="1"/>
    </xf>
    <xf numFmtId="0" fontId="46" fillId="0" borderId="0" xfId="0" applyNumberFormat="1" applyFont="1" applyAlignment="1">
      <alignment vertical="center" wrapText="1"/>
    </xf>
    <xf numFmtId="49" fontId="46" fillId="0" borderId="3" xfId="0" applyNumberFormat="1" applyFont="1" applyBorder="1" applyAlignment="1">
      <alignment horizontal="left" vertical="center" wrapText="1"/>
    </xf>
    <xf numFmtId="0" fontId="53" fillId="6" borderId="0" xfId="0" applyNumberFormat="1" applyFont="1" applyFill="1" applyAlignment="1">
      <alignment horizontal="center" vertical="center" wrapText="1"/>
    </xf>
    <xf numFmtId="49" fontId="46" fillId="0" borderId="8" xfId="0" applyNumberFormat="1" applyFont="1" applyBorder="1" applyAlignment="1">
      <alignment horizontal="left" vertical="center" wrapText="1"/>
    </xf>
    <xf numFmtId="0" fontId="20" fillId="0" borderId="0" xfId="0" applyNumberFormat="1" applyFont="1" applyAlignment="1">
      <alignment vertical="center"/>
    </xf>
    <xf numFmtId="0" fontId="20" fillId="6" borderId="0" xfId="0" applyNumberFormat="1" applyFont="1" applyFill="1" applyAlignment="1"/>
    <xf numFmtId="0" fontId="20" fillId="6" borderId="0" xfId="0" applyNumberFormat="1" applyFont="1" applyFill="1" applyAlignment="1">
      <alignment vertical="center" wrapText="1"/>
    </xf>
    <xf numFmtId="0" fontId="20" fillId="0" borderId="0" xfId="0" applyNumberFormat="1" applyFont="1" applyAlignment="1">
      <alignment vertical="center" wrapText="1"/>
    </xf>
    <xf numFmtId="49" fontId="2" fillId="0" borderId="0" xfId="0" applyNumberFormat="1" applyFont="1">
      <alignment vertical="top"/>
    </xf>
    <xf numFmtId="0" fontId="2" fillId="0" borderId="0" xfId="0" applyNumberFormat="1" applyFont="1" applyAlignment="1">
      <alignment vertical="center" wrapText="1"/>
    </xf>
    <xf numFmtId="0" fontId="8" fillId="6" borderId="0" xfId="0" applyNumberFormat="1" applyFont="1" applyFill="1" applyAlignment="1">
      <alignment horizontal="center" vertical="center" wrapText="1"/>
    </xf>
    <xf numFmtId="0" fontId="14" fillId="0" borderId="0" xfId="0" applyNumberFormat="1" applyFont="1" applyAlignment="1">
      <alignment vertical="center" wrapText="1"/>
    </xf>
    <xf numFmtId="49" fontId="2" fillId="0" borderId="3" xfId="0" applyNumberFormat="1" applyFont="1" applyBorder="1" applyAlignment="1">
      <alignment horizontal="left" vertical="center" wrapText="1"/>
    </xf>
    <xf numFmtId="0" fontId="2" fillId="0" borderId="0" xfId="0" applyNumberFormat="1" applyFont="1" applyAlignment="1">
      <alignment vertical="center" wrapText="1"/>
    </xf>
    <xf numFmtId="49" fontId="20" fillId="0" borderId="0" xfId="0" applyNumberFormat="1" applyFont="1" applyAlignment="1">
      <alignment vertical="center" wrapText="1"/>
    </xf>
    <xf numFmtId="0" fontId="20" fillId="0" borderId="0" xfId="0" applyNumberFormat="1" applyFont="1" applyAlignment="1">
      <alignment vertical="center" wrapText="1"/>
    </xf>
    <xf numFmtId="0" fontId="2" fillId="0" borderId="3" xfId="0" applyNumberFormat="1" applyFont="1" applyBorder="1" applyAlignment="1">
      <alignment horizontal="center" vertical="center" wrapText="1"/>
    </xf>
    <xf numFmtId="14" fontId="2" fillId="8" borderId="6" xfId="0" applyNumberFormat="1" applyFont="1" applyFill="1" applyBorder="1" applyAlignment="1">
      <alignment horizontal="center" vertical="center" wrapText="1"/>
    </xf>
    <xf numFmtId="49" fontId="2" fillId="8" borderId="6" xfId="0" applyNumberFormat="1" applyFont="1" applyFill="1" applyBorder="1" applyAlignment="1">
      <alignment horizontal="center" vertical="center" wrapText="1"/>
    </xf>
    <xf numFmtId="14" fontId="54" fillId="8" borderId="6" xfId="0" applyNumberFormat="1" applyFont="1" applyFill="1" applyBorder="1" applyAlignment="1">
      <alignment horizontal="center" vertical="center" wrapText="1"/>
    </xf>
    <xf numFmtId="0" fontId="20" fillId="0" borderId="0" xfId="0" applyNumberFormat="1" applyFont="1" applyAlignment="1">
      <alignment horizontal="left" vertical="center" wrapText="1"/>
    </xf>
    <xf numFmtId="49" fontId="20" fillId="0" borderId="0" xfId="0" applyNumberFormat="1" applyFont="1" applyAlignment="1">
      <alignment horizontal="left" vertical="center" wrapText="1"/>
    </xf>
    <xf numFmtId="0" fontId="20" fillId="0" borderId="0" xfId="0" applyNumberFormat="1" applyFont="1" applyAlignment="1">
      <alignment vertical="center" wrapText="1"/>
    </xf>
    <xf numFmtId="49" fontId="26" fillId="0" borderId="3" xfId="0" applyNumberFormat="1" applyFont="1" applyBorder="1" applyAlignment="1">
      <alignment horizontal="left" vertical="center" wrapText="1"/>
    </xf>
    <xf numFmtId="14" fontId="2" fillId="11" borderId="3" xfId="0" applyNumberFormat="1" applyFont="1" applyFill="1" applyBorder="1" applyAlignment="1">
      <alignment horizontal="center" vertical="center" wrapText="1"/>
    </xf>
    <xf numFmtId="0" fontId="2" fillId="0" borderId="3" xfId="0" applyNumberFormat="1" applyFont="1" applyBorder="1" applyAlignment="1">
      <alignment horizontal="center" vertical="center" wrapText="1"/>
    </xf>
    <xf numFmtId="0" fontId="2" fillId="0" borderId="0" xfId="0" applyNumberFormat="1" applyFont="1" applyAlignment="1">
      <alignment horizontal="center" vertical="center" wrapText="1"/>
    </xf>
    <xf numFmtId="0" fontId="2" fillId="0" borderId="3" xfId="0" applyNumberFormat="1" applyFont="1" applyBorder="1" applyAlignment="1">
      <alignment horizontal="center" vertical="center" wrapText="1"/>
    </xf>
    <xf numFmtId="49" fontId="2" fillId="11" borderId="3" xfId="0" applyNumberFormat="1" applyFont="1" applyFill="1" applyBorder="1" applyAlignment="1">
      <alignment horizontal="center" vertical="center" wrapText="1"/>
    </xf>
    <xf numFmtId="0" fontId="55" fillId="0" borderId="0" xfId="0" applyNumberFormat="1" applyFont="1" applyAlignment="1">
      <alignment horizontal="center" vertical="center" wrapText="1"/>
    </xf>
    <xf numFmtId="0" fontId="8" fillId="0" borderId="0" xfId="0" applyNumberFormat="1" applyFont="1" applyAlignment="1">
      <alignment horizontal="center" vertical="center" wrapText="1"/>
    </xf>
    <xf numFmtId="49" fontId="2" fillId="0" borderId="3" xfId="0" applyNumberFormat="1" applyFont="1" applyBorder="1" applyAlignment="1">
      <alignment horizontal="center" vertical="center" wrapText="1"/>
    </xf>
    <xf numFmtId="0" fontId="0" fillId="6" borderId="5" xfId="0" applyNumberFormat="1" applyFont="1" applyFill="1" applyBorder="1" applyAlignment="1">
      <alignment horizontal="left" vertical="center" wrapText="1"/>
    </xf>
    <xf numFmtId="49" fontId="22" fillId="8" borderId="6" xfId="0" applyNumberFormat="1" applyFont="1" applyFill="1" applyBorder="1" applyAlignment="1">
      <alignment horizontal="center" vertical="center"/>
    </xf>
    <xf numFmtId="0" fontId="4" fillId="0" borderId="0" xfId="0" applyNumberFormat="1" applyFont="1" applyAlignment="1">
      <alignment vertical="center" wrapText="1"/>
    </xf>
    <xf numFmtId="0" fontId="3" fillId="0" borderId="0" xfId="0" applyNumberFormat="1" applyFont="1" applyAlignment="1">
      <alignment horizontal="center" vertical="center" wrapText="1"/>
    </xf>
    <xf numFmtId="0" fontId="2" fillId="0" borderId="0" xfId="0" applyNumberFormat="1" applyFont="1" applyAlignment="1">
      <alignment horizontal="center" vertical="center" wrapText="1"/>
    </xf>
    <xf numFmtId="0" fontId="19" fillId="0" borderId="0" xfId="0" applyNumberFormat="1" applyFont="1" applyAlignment="1">
      <alignment horizontal="center" vertical="center" wrapText="1"/>
    </xf>
    <xf numFmtId="0" fontId="56" fillId="0" borderId="0" xfId="0" applyNumberFormat="1" applyFont="1" applyAlignment="1">
      <alignment vertical="center" wrapText="1"/>
    </xf>
    <xf numFmtId="49" fontId="19" fillId="0" borderId="0" xfId="0" applyNumberFormat="1" applyFont="1" applyAlignment="1">
      <alignment horizontal="center" vertical="center" wrapText="1"/>
    </xf>
    <xf numFmtId="0" fontId="19" fillId="0" borderId="0" xfId="0" applyNumberFormat="1" applyFont="1" applyAlignment="1">
      <alignment vertical="center" wrapText="1"/>
    </xf>
    <xf numFmtId="49" fontId="2" fillId="0" borderId="0" xfId="0" applyNumberFormat="1" applyFont="1" applyAlignment="1">
      <alignment horizontal="center" vertical="top" wrapText="1"/>
    </xf>
    <xf numFmtId="49" fontId="2" fillId="0" borderId="3" xfId="0" applyNumberFormat="1" applyFont="1" applyBorder="1" applyAlignment="1">
      <alignment horizontal="center" vertical="center" wrapText="1"/>
    </xf>
    <xf numFmtId="49" fontId="2" fillId="10" borderId="3" xfId="0" applyNumberFormat="1" applyFont="1" applyFill="1" applyBorder="1" applyAlignment="1" applyProtection="1">
      <alignment vertical="center" wrapText="1"/>
      <protection locked="0"/>
    </xf>
    <xf numFmtId="4" fontId="2" fillId="7" borderId="3" xfId="0" applyNumberFormat="1" applyFont="1" applyFill="1" applyBorder="1" applyAlignment="1" applyProtection="1">
      <alignment horizontal="right" vertical="center" wrapText="1"/>
      <protection locked="0"/>
    </xf>
    <xf numFmtId="0" fontId="57" fillId="0" borderId="0" xfId="0" applyNumberFormat="1" applyFont="1" applyAlignment="1">
      <alignment vertical="center" wrapText="1"/>
    </xf>
    <xf numFmtId="0" fontId="27" fillId="0" borderId="0" xfId="0" applyNumberFormat="1" applyFont="1" applyAlignment="1">
      <alignment vertical="center" wrapText="1"/>
    </xf>
    <xf numFmtId="170" fontId="2" fillId="7" borderId="3" xfId="0" applyNumberFormat="1" applyFont="1" applyFill="1" applyBorder="1" applyAlignment="1" applyProtection="1">
      <alignment horizontal="right" vertical="center" wrapText="1"/>
      <protection locked="0"/>
    </xf>
    <xf numFmtId="0" fontId="2" fillId="0" borderId="20" xfId="0" applyNumberFormat="1" applyFont="1" applyBorder="1" applyAlignment="1">
      <alignment horizontal="center" vertical="center" wrapText="1"/>
    </xf>
    <xf numFmtId="0" fontId="2" fillId="10" borderId="3" xfId="0" applyNumberFormat="1" applyFont="1" applyFill="1" applyBorder="1" applyAlignment="1" applyProtection="1">
      <alignment horizontal="left" vertical="center" wrapText="1" indent="2"/>
      <protection locked="0"/>
    </xf>
    <xf numFmtId="49" fontId="20" fillId="0" borderId="0" xfId="0" applyNumberFormat="1" applyFont="1" applyAlignment="1">
      <alignment horizontal="center" vertical="center" wrapText="1"/>
    </xf>
    <xf numFmtId="0" fontId="20" fillId="0" borderId="20" xfId="0" applyNumberFormat="1" applyFont="1" applyBorder="1" applyAlignment="1">
      <alignment horizontal="center" vertical="center" wrapText="1"/>
    </xf>
    <xf numFmtId="0" fontId="20" fillId="0" borderId="3" xfId="0" applyNumberFormat="1" applyFont="1" applyBorder="1" applyAlignment="1">
      <alignment horizontal="left" vertical="center" wrapText="1" indent="2"/>
    </xf>
    <xf numFmtId="0" fontId="20" fillId="0" borderId="3" xfId="0" applyNumberFormat="1" applyFont="1" applyBorder="1" applyAlignment="1">
      <alignment horizontal="center" vertical="center" wrapText="1"/>
    </xf>
    <xf numFmtId="0" fontId="2" fillId="0" borderId="3" xfId="0" applyNumberFormat="1" applyFont="1" applyBorder="1" applyAlignment="1">
      <alignment horizontal="left" vertical="center" wrapText="1" indent="3"/>
    </xf>
    <xf numFmtId="49" fontId="2" fillId="10" borderId="3" xfId="0" applyNumberFormat="1" applyFont="1" applyFill="1" applyBorder="1" applyAlignment="1" applyProtection="1">
      <alignment horizontal="center" vertical="center" wrapText="1"/>
      <protection locked="0"/>
    </xf>
    <xf numFmtId="0" fontId="2" fillId="7" borderId="3" xfId="0" applyNumberFormat="1" applyFont="1" applyFill="1" applyBorder="1" applyAlignment="1" applyProtection="1">
      <alignment horizontal="left" vertical="center" wrapText="1"/>
      <protection locked="0"/>
    </xf>
    <xf numFmtId="4" fontId="2" fillId="10" borderId="3" xfId="0" applyNumberFormat="1" applyFont="1" applyFill="1" applyBorder="1" applyAlignment="1" applyProtection="1">
      <alignment horizontal="right" vertical="center" wrapText="1"/>
      <protection locked="0"/>
    </xf>
    <xf numFmtId="4" fontId="2" fillId="5" borderId="3" xfId="0" applyNumberFormat="1" applyFont="1" applyFill="1" applyBorder="1" applyAlignment="1">
      <alignment horizontal="right" vertical="center" wrapText="1"/>
    </xf>
    <xf numFmtId="0" fontId="2" fillId="0" borderId="3" xfId="0" applyNumberFormat="1" applyFont="1" applyBorder="1" applyAlignment="1">
      <alignment horizontal="left" vertical="center" wrapText="1" indent="1"/>
    </xf>
    <xf numFmtId="49" fontId="46" fillId="0" borderId="0" xfId="0" applyNumberFormat="1" applyFont="1" applyAlignment="1">
      <alignment horizontal="center" vertical="center" wrapText="1"/>
    </xf>
    <xf numFmtId="49" fontId="46" fillId="0" borderId="20" xfId="0" applyNumberFormat="1" applyFont="1" applyBorder="1" applyAlignment="1">
      <alignment horizontal="center" vertical="center" wrapText="1"/>
    </xf>
    <xf numFmtId="0" fontId="46" fillId="0" borderId="3" xfId="0" applyNumberFormat="1" applyFont="1" applyBorder="1" applyAlignment="1">
      <alignment horizontal="left" vertical="center" wrapText="1" indent="2"/>
    </xf>
    <xf numFmtId="0" fontId="46" fillId="0" borderId="3" xfId="0" applyNumberFormat="1" applyFont="1" applyBorder="1" applyAlignment="1">
      <alignment horizontal="center" vertical="center" wrapText="1"/>
    </xf>
    <xf numFmtId="0" fontId="58" fillId="0" borderId="0" xfId="0" applyNumberFormat="1" applyFont="1" applyAlignment="1">
      <alignment vertical="center" wrapText="1"/>
    </xf>
    <xf numFmtId="0" fontId="36" fillId="0" borderId="0" xfId="0" applyNumberFormat="1" applyFont="1" applyAlignment="1">
      <alignment vertical="center" wrapText="1"/>
    </xf>
    <xf numFmtId="0" fontId="46" fillId="0" borderId="20" xfId="0" applyNumberFormat="1" applyFont="1" applyBorder="1" applyAlignment="1">
      <alignment horizontal="center" vertical="center" wrapText="1"/>
    </xf>
    <xf numFmtId="0" fontId="46" fillId="0" borderId="3" xfId="0" applyNumberFormat="1" applyFont="1" applyBorder="1" applyAlignment="1">
      <alignment horizontal="left" vertical="center" wrapText="1" indent="3"/>
    </xf>
    <xf numFmtId="4" fontId="46" fillId="0" borderId="3" xfId="0" applyNumberFormat="1" applyFont="1" applyBorder="1" applyAlignment="1">
      <alignment horizontal="right" vertical="center" wrapText="1"/>
    </xf>
    <xf numFmtId="49" fontId="2" fillId="8" borderId="5" xfId="0" applyNumberFormat="1" applyFont="1" applyFill="1" applyBorder="1" applyAlignment="1">
      <alignment vertical="center" wrapText="1"/>
    </xf>
    <xf numFmtId="49" fontId="12" fillId="8" borderId="6" xfId="0" applyNumberFormat="1" applyFont="1" applyFill="1" applyBorder="1" applyAlignment="1">
      <alignment horizontal="left" vertical="center" indent="2"/>
    </xf>
    <xf numFmtId="0" fontId="2" fillId="8" borderId="6" xfId="0" applyNumberFormat="1" applyFont="1" applyFill="1" applyBorder="1" applyAlignment="1">
      <alignment vertical="center" wrapText="1"/>
    </xf>
    <xf numFmtId="0" fontId="19" fillId="8" borderId="4" xfId="0" applyNumberFormat="1" applyFont="1" applyFill="1" applyBorder="1" applyAlignment="1">
      <alignment vertical="center" wrapText="1"/>
    </xf>
    <xf numFmtId="14" fontId="2" fillId="0" borderId="0" xfId="0" applyNumberFormat="1" applyFont="1" applyAlignment="1">
      <alignment horizontal="center" vertical="center" wrapText="1"/>
    </xf>
    <xf numFmtId="49" fontId="22" fillId="0" borderId="0" xfId="0" applyNumberFormat="1" applyFont="1" applyAlignment="1">
      <alignment horizontal="center" vertical="center"/>
    </xf>
    <xf numFmtId="0" fontId="2" fillId="0" borderId="3" xfId="0" applyNumberFormat="1" applyFont="1" applyBorder="1" applyAlignment="1">
      <alignment horizontal="left" vertical="center" wrapText="1" indent="2"/>
    </xf>
    <xf numFmtId="170" fontId="2" fillId="10" borderId="3" xfId="0" applyNumberFormat="1" applyFont="1" applyFill="1" applyBorder="1" applyAlignment="1" applyProtection="1">
      <alignment horizontal="right" vertical="center" wrapText="1"/>
      <protection locked="0"/>
    </xf>
    <xf numFmtId="0" fontId="2" fillId="0" borderId="8" xfId="0" applyNumberFormat="1" applyFont="1" applyBorder="1" applyAlignment="1">
      <alignment horizontal="center" vertical="center" wrapText="1"/>
    </xf>
    <xf numFmtId="4" fontId="2" fillId="5" borderId="8" xfId="0" applyNumberFormat="1" applyFont="1" applyFill="1" applyBorder="1" applyAlignment="1">
      <alignment horizontal="right" vertical="center" wrapText="1"/>
    </xf>
    <xf numFmtId="49" fontId="12" fillId="8" borderId="6" xfId="0" applyNumberFormat="1" applyFont="1" applyFill="1" applyBorder="1" applyAlignment="1">
      <alignment horizontal="left" vertical="center" indent="1"/>
    </xf>
    <xf numFmtId="0" fontId="2" fillId="0" borderId="0" xfId="0" applyNumberFormat="1" applyFont="1" applyAlignment="1">
      <alignment horizontal="left" vertical="center" wrapText="1"/>
    </xf>
    <xf numFmtId="0" fontId="2" fillId="0" borderId="0" xfId="0" applyNumberFormat="1" applyFont="1" applyAlignment="1">
      <alignment vertical="center"/>
    </xf>
    <xf numFmtId="0" fontId="19" fillId="0" borderId="0" xfId="0" applyNumberFormat="1" applyFont="1" applyAlignment="1">
      <alignment vertical="center"/>
    </xf>
    <xf numFmtId="0" fontId="2" fillId="0" borderId="0" xfId="0" applyNumberFormat="1" applyFont="1" applyAlignment="1">
      <alignment vertical="center"/>
    </xf>
    <xf numFmtId="0" fontId="59" fillId="0" borderId="0" xfId="0" applyNumberFormat="1" applyFont="1" applyAlignment="1">
      <alignment vertical="center"/>
    </xf>
    <xf numFmtId="0" fontId="2" fillId="0" borderId="0" xfId="0" applyNumberFormat="1" applyFont="1" applyAlignment="1">
      <alignment vertical="center" wrapText="1"/>
    </xf>
    <xf numFmtId="0" fontId="13" fillId="0" borderId="0" xfId="0" applyNumberFormat="1" applyFont="1" applyAlignment="1">
      <alignment vertical="center"/>
    </xf>
    <xf numFmtId="0" fontId="59" fillId="0" borderId="0" xfId="0" applyNumberFormat="1" applyFont="1" applyAlignment="1">
      <alignment vertical="center"/>
    </xf>
    <xf numFmtId="0" fontId="25" fillId="0" borderId="0" xfId="0" applyNumberFormat="1" applyFont="1" applyAlignment="1">
      <alignment vertical="center"/>
    </xf>
    <xf numFmtId="0" fontId="2" fillId="0" borderId="0" xfId="0" applyNumberFormat="1" applyFont="1" applyAlignment="1">
      <alignment horizontal="center" vertical="center" wrapText="1"/>
    </xf>
    <xf numFmtId="49" fontId="7" fillId="0" borderId="0" xfId="0" applyNumberFormat="1" applyFont="1" applyAlignment="1">
      <alignment horizontal="center" vertical="center" wrapText="1"/>
    </xf>
    <xf numFmtId="49" fontId="7" fillId="0" borderId="3" xfId="0" applyNumberFormat="1" applyFont="1" applyBorder="1" applyAlignment="1">
      <alignment horizontal="center" vertical="center" wrapText="1"/>
    </xf>
    <xf numFmtId="0" fontId="19" fillId="0" borderId="0" xfId="0" applyNumberFormat="1" applyFont="1" applyAlignment="1">
      <alignment vertical="center"/>
    </xf>
    <xf numFmtId="0" fontId="20" fillId="0" borderId="0" xfId="0" applyNumberFormat="1" applyFont="1" applyAlignment="1">
      <alignment horizontal="center" vertical="center"/>
    </xf>
    <xf numFmtId="0" fontId="2" fillId="0" borderId="0" xfId="0" applyNumberFormat="1" applyFont="1" applyAlignment="1">
      <alignment horizontal="center" vertical="center" wrapText="1"/>
    </xf>
    <xf numFmtId="0" fontId="2" fillId="8" borderId="5" xfId="0" applyNumberFormat="1" applyFont="1" applyFill="1" applyBorder="1" applyAlignment="1">
      <alignment horizontal="center" vertical="center" wrapText="1"/>
    </xf>
    <xf numFmtId="49" fontId="2" fillId="8" borderId="6" xfId="0" applyNumberFormat="1" applyFont="1" applyFill="1" applyBorder="1" applyAlignment="1">
      <alignment horizontal="center" vertical="center" wrapText="1"/>
    </xf>
    <xf numFmtId="0" fontId="0" fillId="8" borderId="4" xfId="0" applyNumberFormat="1" applyFont="1" applyFill="1" applyBorder="1" applyAlignment="1">
      <alignment vertical="center"/>
    </xf>
    <xf numFmtId="49" fontId="2" fillId="0" borderId="8" xfId="0" applyNumberFormat="1" applyFont="1" applyBorder="1" applyAlignment="1">
      <alignment horizontal="center" vertical="center" wrapText="1"/>
    </xf>
    <xf numFmtId="49" fontId="48" fillId="0" borderId="3" xfId="0" applyNumberFormat="1" applyFont="1" applyBorder="1" applyAlignment="1">
      <alignment horizontal="left" vertical="center" wrapText="1" indent="1"/>
    </xf>
    <xf numFmtId="0" fontId="19" fillId="0" borderId="0" xfId="0" applyNumberFormat="1" applyFont="1" applyAlignment="1">
      <alignment vertical="center"/>
    </xf>
    <xf numFmtId="0" fontId="47" fillId="0" borderId="0" xfId="0" applyNumberFormat="1" applyFont="1" applyAlignment="1">
      <alignment vertical="center"/>
    </xf>
    <xf numFmtId="49" fontId="12" fillId="8" borderId="4" xfId="0" applyNumberFormat="1" applyFont="1" applyFill="1" applyBorder="1" applyAlignment="1">
      <alignment horizontal="left" vertical="center" indent="1"/>
    </xf>
    <xf numFmtId="49" fontId="22" fillId="8" borderId="4" xfId="0" applyNumberFormat="1" applyFont="1" applyFill="1" applyBorder="1" applyAlignment="1">
      <alignment horizontal="right" vertical="center" wrapText="1"/>
    </xf>
    <xf numFmtId="0" fontId="48" fillId="13" borderId="0" xfId="0" applyNumberFormat="1" applyFont="1" applyFill="1">
      <alignment vertical="top"/>
    </xf>
    <xf numFmtId="49" fontId="3" fillId="0" borderId="0" xfId="0" applyNumberFormat="1" applyFont="1" applyAlignment="1">
      <alignment horizontal="center" vertical="center" wrapText="1"/>
    </xf>
    <xf numFmtId="0" fontId="20" fillId="0" borderId="0" xfId="0" applyNumberFormat="1" applyFont="1" applyAlignment="1">
      <alignment vertical="center" wrapText="1"/>
    </xf>
    <xf numFmtId="0" fontId="3" fillId="0" borderId="0" xfId="0" applyNumberFormat="1" applyFont="1" applyAlignment="1">
      <alignment vertical="center" wrapText="1"/>
    </xf>
    <xf numFmtId="0" fontId="2" fillId="0" borderId="0" xfId="0" applyNumberFormat="1" applyFont="1" applyAlignment="1">
      <alignment horizontal="center" vertical="center" wrapText="1"/>
    </xf>
    <xf numFmtId="0" fontId="22" fillId="0" borderId="0" xfId="0" applyNumberFormat="1" applyFont="1" applyAlignment="1">
      <alignment horizontal="center" vertical="center" wrapText="1"/>
    </xf>
    <xf numFmtId="49" fontId="3" fillId="0" borderId="0" xfId="0" applyNumberFormat="1" applyFont="1" applyAlignment="1">
      <alignment horizontal="center" vertical="center" wrapText="1"/>
    </xf>
    <xf numFmtId="4" fontId="2" fillId="0" borderId="0" xfId="0" applyNumberFormat="1" applyFont="1" applyAlignment="1">
      <alignment horizontal="right" vertical="center" wrapText="1"/>
    </xf>
    <xf numFmtId="9" fontId="22" fillId="0" borderId="0" xfId="0" applyNumberFormat="1" applyFont="1" applyAlignment="1">
      <alignment horizontal="center" vertical="center" wrapText="1"/>
    </xf>
    <xf numFmtId="0" fontId="45" fillId="0" borderId="0" xfId="0" applyNumberFormat="1" applyFont="1" applyAlignment="1">
      <alignment vertical="center" wrapText="1"/>
    </xf>
    <xf numFmtId="0" fontId="20" fillId="0" borderId="0" xfId="0" applyNumberFormat="1" applyFont="1" applyAlignment="1">
      <alignment vertical="center" wrapText="1"/>
    </xf>
    <xf numFmtId="0" fontId="3" fillId="0" borderId="0" xfId="0" applyNumberFormat="1" applyFont="1" applyAlignment="1">
      <alignment vertical="center" wrapText="1"/>
    </xf>
    <xf numFmtId="49" fontId="36" fillId="0" borderId="0" xfId="0" applyNumberFormat="1" applyFont="1" applyAlignment="1">
      <alignment horizontal="center" vertical="center" wrapText="1"/>
    </xf>
    <xf numFmtId="0" fontId="36" fillId="0" borderId="0" xfId="0" applyNumberFormat="1" applyFont="1" applyAlignment="1">
      <alignment vertical="center" wrapText="1"/>
    </xf>
    <xf numFmtId="0" fontId="0" fillId="0" borderId="0" xfId="0" applyNumberFormat="1" applyFont="1">
      <alignment vertical="top"/>
    </xf>
    <xf numFmtId="49" fontId="20" fillId="0" borderId="0" xfId="0" applyNumberFormat="1" applyFont="1">
      <alignment vertical="top"/>
    </xf>
    <xf numFmtId="49" fontId="19" fillId="0" borderId="0" xfId="0" applyNumberFormat="1" applyFont="1">
      <alignment vertical="top"/>
    </xf>
    <xf numFmtId="49" fontId="20" fillId="0" borderId="0" xfId="0" applyNumberFormat="1" applyFont="1">
      <alignment vertical="top"/>
    </xf>
    <xf numFmtId="49" fontId="19" fillId="0" borderId="0" xfId="0" applyNumberFormat="1" applyFont="1">
      <alignment vertical="top"/>
    </xf>
    <xf numFmtId="49" fontId="19" fillId="0" borderId="0" xfId="0" applyNumberFormat="1" applyFont="1">
      <alignment vertical="top"/>
    </xf>
    <xf numFmtId="0" fontId="19" fillId="0" borderId="0" xfId="0" applyNumberFormat="1" applyFont="1">
      <alignment vertical="top"/>
    </xf>
    <xf numFmtId="0" fontId="47" fillId="0" borderId="0" xfId="0" applyNumberFormat="1" applyFont="1">
      <alignment vertical="top"/>
    </xf>
    <xf numFmtId="0" fontId="60" fillId="0" borderId="0" xfId="0" applyNumberFormat="1" applyFont="1">
      <alignment vertical="top"/>
    </xf>
    <xf numFmtId="0" fontId="19" fillId="0" borderId="0" xfId="0" applyNumberFormat="1" applyFont="1" applyAlignment="1">
      <alignment horizontal="center" vertical="center" wrapText="1"/>
    </xf>
    <xf numFmtId="0" fontId="20" fillId="0" borderId="0" xfId="0" applyNumberFormat="1" applyFont="1" applyAlignment="1">
      <alignment horizontal="center" vertical="center" wrapText="1"/>
    </xf>
    <xf numFmtId="0" fontId="20" fillId="0" borderId="3" xfId="0" applyNumberFormat="1" applyFont="1" applyBorder="1" applyAlignment="1">
      <alignment horizontal="left" vertical="center" wrapText="1"/>
    </xf>
    <xf numFmtId="0" fontId="20" fillId="0" borderId="3" xfId="0" applyNumberFormat="1" applyFont="1" applyBorder="1" applyAlignment="1">
      <alignment vertical="center" wrapText="1"/>
    </xf>
    <xf numFmtId="49" fontId="0" fillId="0" borderId="4" xfId="0" applyNumberFormat="1" applyFont="1" applyBorder="1" applyAlignment="1">
      <alignment horizontal="center" vertical="center" wrapText="1"/>
    </xf>
    <xf numFmtId="49" fontId="0" fillId="0" borderId="3" xfId="0" applyNumberFormat="1" applyFont="1" applyBorder="1" applyAlignment="1">
      <alignment horizontal="center" vertical="center"/>
    </xf>
    <xf numFmtId="4" fontId="0" fillId="5" borderId="3" xfId="0" applyNumberFormat="1" applyFont="1" applyFill="1" applyBorder="1" applyAlignment="1">
      <alignment horizontal="right" vertical="center" wrapText="1"/>
    </xf>
    <xf numFmtId="0" fontId="0" fillId="0" borderId="3" xfId="0" applyNumberFormat="1" applyFont="1" applyBorder="1" applyAlignment="1">
      <alignment vertical="center" wrapText="1"/>
    </xf>
    <xf numFmtId="49" fontId="0" fillId="0" borderId="21" xfId="0" applyNumberFormat="1" applyFont="1" applyBorder="1" applyAlignment="1">
      <alignment horizontal="center" vertical="center" wrapText="1"/>
    </xf>
    <xf numFmtId="4" fontId="0" fillId="10" borderId="3" xfId="0" applyNumberFormat="1" applyFont="1" applyFill="1" applyBorder="1" applyAlignment="1" applyProtection="1">
      <alignment horizontal="right" vertical="center" wrapText="1"/>
      <protection locked="0"/>
    </xf>
    <xf numFmtId="49" fontId="0" fillId="10" borderId="3" xfId="0" applyNumberFormat="1" applyFont="1" applyFill="1" applyBorder="1" applyAlignment="1" applyProtection="1">
      <alignment horizontal="center" vertical="center" wrapText="1"/>
      <protection locked="0"/>
    </xf>
    <xf numFmtId="4" fontId="19" fillId="0" borderId="3" xfId="0" applyNumberFormat="1" applyFont="1" applyBorder="1" applyAlignment="1">
      <alignment horizontal="right" vertical="center" wrapText="1"/>
    </xf>
    <xf numFmtId="49" fontId="0" fillId="8" borderId="18" xfId="0" applyNumberFormat="1" applyFont="1" applyFill="1" applyBorder="1" applyAlignment="1">
      <alignment horizontal="center" vertical="center"/>
    </xf>
    <xf numFmtId="49" fontId="0" fillId="8" borderId="6" xfId="0" applyNumberFormat="1" applyFont="1" applyFill="1" applyBorder="1" applyAlignment="1">
      <alignment horizontal="center" vertical="center"/>
    </xf>
    <xf numFmtId="49" fontId="12" fillId="8" borderId="6" xfId="0" applyNumberFormat="1" applyFont="1" applyFill="1" applyBorder="1" applyAlignment="1">
      <alignment horizontal="left" vertical="center"/>
    </xf>
    <xf numFmtId="49" fontId="12" fillId="8" borderId="4" xfId="0" applyNumberFormat="1" applyFont="1" applyFill="1" applyBorder="1" applyAlignment="1">
      <alignment horizontal="left" vertical="center" indent="1"/>
    </xf>
    <xf numFmtId="49" fontId="12" fillId="8" borderId="5" xfId="0" applyNumberFormat="1" applyFont="1" applyFill="1" applyBorder="1" applyAlignment="1">
      <alignment horizontal="left" vertical="center"/>
    </xf>
    <xf numFmtId="49" fontId="12" fillId="8" borderId="6" xfId="0" applyNumberFormat="1" applyFont="1" applyFill="1" applyBorder="1" applyAlignment="1">
      <alignment horizontal="left" vertical="center" indent="1"/>
    </xf>
    <xf numFmtId="49" fontId="12" fillId="8" borderId="6" xfId="0" applyNumberFormat="1" applyFont="1" applyFill="1" applyBorder="1" applyAlignment="1">
      <alignment horizontal="left" vertical="center"/>
    </xf>
    <xf numFmtId="49" fontId="12" fillId="8" borderId="4" xfId="0" applyNumberFormat="1" applyFont="1" applyFill="1" applyBorder="1" applyAlignment="1">
      <alignment horizontal="left" vertical="center" indent="1"/>
    </xf>
    <xf numFmtId="0" fontId="12" fillId="0" borderId="3" xfId="0" applyNumberFormat="1" applyFont="1" applyBorder="1" applyAlignment="1">
      <alignment horizontal="left" vertical="center" indent="1"/>
    </xf>
    <xf numFmtId="0" fontId="2" fillId="0" borderId="0" xfId="0" applyNumberFormat="1" applyFont="1" applyAlignment="1">
      <alignment horizontal="right" vertical="center" wrapText="1"/>
    </xf>
    <xf numFmtId="0" fontId="0" fillId="0" borderId="0" xfId="0" applyNumberFormat="1" applyFont="1" applyAlignment="1">
      <alignment vertical="center"/>
    </xf>
    <xf numFmtId="0" fontId="17" fillId="0" borderId="0" xfId="0" applyNumberFormat="1" applyFont="1" applyAlignment="1">
      <alignment horizontal="right" vertical="top" wrapText="1"/>
    </xf>
    <xf numFmtId="0" fontId="2" fillId="0" borderId="0" xfId="0" applyNumberFormat="1" applyFont="1" applyAlignment="1">
      <alignment vertical="top" wrapText="1"/>
    </xf>
    <xf numFmtId="0" fontId="2" fillId="0" borderId="0" xfId="0" applyNumberFormat="1" applyFont="1" applyAlignment="1">
      <alignment horizontal="left" vertical="top" wrapText="1"/>
    </xf>
    <xf numFmtId="0" fontId="7" fillId="0" borderId="0" xfId="0" applyNumberFormat="1" applyFont="1" applyAlignment="1">
      <alignment horizontal="center" vertical="center" wrapText="1"/>
    </xf>
    <xf numFmtId="4" fontId="2" fillId="0" borderId="3" xfId="0" applyNumberFormat="1" applyFont="1" applyBorder="1" applyAlignment="1">
      <alignment horizontal="center" vertical="center" wrapText="1"/>
    </xf>
    <xf numFmtId="49" fontId="26" fillId="7" borderId="5" xfId="0" applyNumberFormat="1" applyFont="1" applyFill="1" applyBorder="1" applyAlignment="1" applyProtection="1">
      <alignment horizontal="left" vertical="center" wrapText="1"/>
      <protection locked="0"/>
    </xf>
    <xf numFmtId="49" fontId="26" fillId="7" borderId="5" xfId="0" applyNumberFormat="1" applyFont="1" applyFill="1" applyBorder="1" applyAlignment="1" applyProtection="1">
      <alignment horizontal="left" vertical="center" wrapText="1"/>
      <protection locked="0"/>
    </xf>
    <xf numFmtId="49" fontId="2" fillId="10" borderId="3" xfId="0" applyNumberFormat="1" applyFont="1" applyFill="1" applyBorder="1" applyAlignment="1" applyProtection="1">
      <alignment horizontal="left" vertical="center" wrapText="1"/>
      <protection locked="0"/>
    </xf>
    <xf numFmtId="0" fontId="17" fillId="0" borderId="0" xfId="0" applyNumberFormat="1" applyFont="1">
      <alignment vertical="top"/>
    </xf>
    <xf numFmtId="49" fontId="2" fillId="0" borderId="22" xfId="0" applyNumberFormat="1" applyFont="1" applyBorder="1" applyAlignment="1">
      <alignment horizontal="center" vertical="center" wrapText="1"/>
    </xf>
    <xf numFmtId="0" fontId="2" fillId="0" borderId="22" xfId="0" applyNumberFormat="1" applyFont="1" applyBorder="1" applyAlignment="1">
      <alignment horizontal="left" vertical="center" wrapText="1"/>
    </xf>
    <xf numFmtId="0" fontId="2" fillId="0" borderId="22" xfId="0" applyNumberFormat="1" applyFont="1" applyBorder="1" applyAlignment="1">
      <alignment horizontal="left" vertical="center" wrapText="1" indent="1"/>
    </xf>
    <xf numFmtId="4" fontId="2" fillId="10" borderId="22" xfId="0" applyNumberFormat="1" applyFont="1" applyFill="1" applyBorder="1" applyAlignment="1" applyProtection="1">
      <alignment horizontal="right" vertical="center" wrapText="1"/>
      <protection locked="0"/>
    </xf>
    <xf numFmtId="49" fontId="2" fillId="0" borderId="23" xfId="0" applyNumberFormat="1" applyFont="1" applyBorder="1" applyAlignment="1">
      <alignment horizontal="center" vertical="center" wrapText="1"/>
    </xf>
    <xf numFmtId="49" fontId="2" fillId="10" borderId="3" xfId="0" applyNumberFormat="1" applyFont="1" applyFill="1" applyBorder="1" applyAlignment="1" applyProtection="1">
      <alignment horizontal="left" vertical="center" wrapText="1" indent="1"/>
      <protection locked="0"/>
    </xf>
    <xf numFmtId="0" fontId="2" fillId="0" borderId="22" xfId="0" applyNumberFormat="1" applyFont="1" applyBorder="1" applyAlignment="1">
      <alignment horizontal="left" vertical="center" wrapText="1" indent="2"/>
    </xf>
    <xf numFmtId="0" fontId="19" fillId="0" borderId="0" xfId="0" applyNumberFormat="1" applyFont="1" applyAlignment="1">
      <alignment horizontal="center" vertical="center" wrapText="1"/>
    </xf>
    <xf numFmtId="49" fontId="2" fillId="0" borderId="0" xfId="0" applyNumberFormat="1" applyFont="1" applyAlignment="1">
      <alignment horizontal="left" vertical="center" wrapText="1"/>
    </xf>
    <xf numFmtId="0" fontId="56" fillId="0" borderId="0" xfId="0" applyNumberFormat="1" applyFont="1" applyAlignment="1">
      <alignment vertical="center" wrapText="1"/>
    </xf>
    <xf numFmtId="0" fontId="56" fillId="0" borderId="0" xfId="0" applyNumberFormat="1" applyFont="1" applyAlignment="1">
      <alignment vertical="center" wrapText="1"/>
    </xf>
    <xf numFmtId="0" fontId="2" fillId="0" borderId="0" xfId="0" applyNumberFormat="1" applyFont="1" applyAlignment="1">
      <alignment horizontal="left" vertical="center" wrapText="1"/>
    </xf>
    <xf numFmtId="0" fontId="2" fillId="0" borderId="3" xfId="0" applyNumberFormat="1" applyFont="1" applyBorder="1" applyAlignment="1">
      <alignment horizontal="left" vertical="center" wrapText="1"/>
    </xf>
    <xf numFmtId="3" fontId="2" fillId="0" borderId="5" xfId="0" applyNumberFormat="1" applyFont="1" applyBorder="1" applyAlignment="1">
      <alignment vertical="center" wrapText="1"/>
    </xf>
    <xf numFmtId="0" fontId="2" fillId="0" borderId="4" xfId="0" applyNumberFormat="1" applyFont="1" applyBorder="1" applyAlignment="1">
      <alignment vertical="center" wrapText="1"/>
    </xf>
    <xf numFmtId="4" fontId="2" fillId="7" borderId="5" xfId="0" applyNumberFormat="1" applyFont="1" applyFill="1" applyBorder="1" applyAlignment="1" applyProtection="1">
      <alignment horizontal="right" vertical="center" wrapText="1"/>
      <protection locked="0"/>
    </xf>
    <xf numFmtId="4" fontId="2" fillId="0" borderId="5" xfId="0" applyNumberFormat="1" applyFont="1" applyBorder="1" applyAlignment="1">
      <alignment horizontal="right" vertical="center" wrapText="1"/>
    </xf>
    <xf numFmtId="4" fontId="2" fillId="0" borderId="18" xfId="0" applyNumberFormat="1" applyFont="1" applyBorder="1" applyAlignment="1">
      <alignment horizontal="right" vertical="center" wrapText="1"/>
    </xf>
    <xf numFmtId="0" fontId="7" fillId="0" borderId="0" xfId="0" applyNumberFormat="1" applyFont="1" applyAlignment="1">
      <alignment horizontal="center" vertical="center" wrapText="1"/>
    </xf>
    <xf numFmtId="0" fontId="2" fillId="0" borderId="5" xfId="0" applyNumberFormat="1" applyFont="1" applyBorder="1" applyAlignment="1">
      <alignment horizontal="center" vertical="center" wrapText="1"/>
    </xf>
    <xf numFmtId="3" fontId="2" fillId="10" borderId="5" xfId="0" applyNumberFormat="1" applyFont="1" applyFill="1" applyBorder="1" applyAlignment="1" applyProtection="1">
      <alignment vertical="center" wrapText="1"/>
      <protection locked="0"/>
    </xf>
    <xf numFmtId="49" fontId="2" fillId="7" borderId="5" xfId="0" applyNumberFormat="1" applyFont="1" applyFill="1" applyBorder="1" applyAlignment="1" applyProtection="1">
      <alignment horizontal="left" vertical="center" wrapText="1"/>
      <protection locked="0"/>
    </xf>
    <xf numFmtId="4" fontId="2" fillId="5" borderId="5" xfId="0" applyNumberFormat="1" applyFont="1" applyFill="1" applyBorder="1" applyAlignment="1">
      <alignment horizontal="right" vertical="center" wrapText="1"/>
    </xf>
    <xf numFmtId="0" fontId="2" fillId="0" borderId="0" xfId="0" applyNumberFormat="1" applyFont="1" applyAlignment="1">
      <alignment horizontal="left" vertical="center" wrapText="1"/>
    </xf>
    <xf numFmtId="0" fontId="0" fillId="0" borderId="5" xfId="0" applyNumberFormat="1" applyFont="1" applyBorder="1" applyAlignment="1">
      <alignment horizontal="center" vertical="center"/>
    </xf>
    <xf numFmtId="49" fontId="0" fillId="0" borderId="3" xfId="0" applyNumberFormat="1" applyFont="1" applyBorder="1" applyAlignment="1">
      <alignment horizontal="left" vertical="center" wrapText="1" indent="1"/>
    </xf>
    <xf numFmtId="0" fontId="2" fillId="0" borderId="4" xfId="0" applyNumberFormat="1" applyFont="1" applyBorder="1" applyAlignment="1">
      <alignment horizontal="center" vertical="center" wrapText="1"/>
    </xf>
    <xf numFmtId="49" fontId="0" fillId="0" borderId="5" xfId="0" applyNumberFormat="1" applyFont="1" applyBorder="1" applyAlignment="1">
      <alignment horizontal="center" vertical="center"/>
    </xf>
    <xf numFmtId="49" fontId="0" fillId="0" borderId="3" xfId="0" applyNumberFormat="1" applyFont="1" applyBorder="1" applyAlignment="1">
      <alignment vertical="center" wrapText="1"/>
    </xf>
    <xf numFmtId="0" fontId="2" fillId="8" borderId="10" xfId="0" applyNumberFormat="1" applyFont="1" applyFill="1" applyBorder="1" applyAlignment="1">
      <alignment vertical="center" wrapText="1"/>
    </xf>
    <xf numFmtId="0" fontId="2" fillId="0" borderId="6" xfId="0" applyNumberFormat="1" applyFont="1" applyBorder="1" applyAlignment="1">
      <alignment horizontal="center" vertical="center" wrapText="1"/>
    </xf>
    <xf numFmtId="0" fontId="2" fillId="8" borderId="19" xfId="0" applyNumberFormat="1" applyFont="1" applyFill="1" applyBorder="1" applyAlignment="1">
      <alignment vertical="center" wrapText="1"/>
    </xf>
    <xf numFmtId="49" fontId="2" fillId="10" borderId="5" xfId="0" applyNumberFormat="1" applyFont="1" applyFill="1" applyBorder="1" applyAlignment="1" applyProtection="1">
      <alignment horizontal="left" vertical="center" wrapText="1"/>
      <protection locked="0"/>
    </xf>
    <xf numFmtId="49" fontId="0" fillId="7" borderId="3" xfId="0" applyNumberFormat="1" applyFont="1" applyFill="1" applyBorder="1" applyAlignment="1" applyProtection="1">
      <alignment horizontal="left" vertical="center" wrapText="1"/>
      <protection locked="0"/>
    </xf>
    <xf numFmtId="0" fontId="18" fillId="0" borderId="0" xfId="0" applyNumberFormat="1" applyFont="1" applyAlignment="1">
      <alignment horizontal="left" vertical="center" wrapText="1" indent="1"/>
    </xf>
    <xf numFmtId="0" fontId="61" fillId="6" borderId="0" xfId="0" applyNumberFormat="1" applyFont="1" applyFill="1" applyAlignment="1">
      <alignment horizontal="center" vertical="center" wrapText="1"/>
    </xf>
    <xf numFmtId="0" fontId="61" fillId="6" borderId="0" xfId="0" applyNumberFormat="1" applyFont="1" applyFill="1" applyAlignment="1">
      <alignment horizontal="right" vertical="center" wrapText="1"/>
    </xf>
    <xf numFmtId="0" fontId="2" fillId="0" borderId="3" xfId="0" applyNumberFormat="1" applyFont="1" applyBorder="1" applyAlignment="1">
      <alignment horizontal="center" vertical="center" wrapText="1"/>
    </xf>
    <xf numFmtId="49" fontId="19" fillId="0" borderId="0" xfId="0" applyNumberFormat="1" applyFont="1" applyAlignment="1">
      <alignment horizontal="center" vertical="center" wrapText="1"/>
    </xf>
    <xf numFmtId="0" fontId="2" fillId="0" borderId="3" xfId="0" applyNumberFormat="1" applyFont="1" applyBorder="1" applyAlignment="1">
      <alignment horizontal="center" vertical="center" wrapText="1"/>
    </xf>
    <xf numFmtId="0" fontId="19" fillId="0" borderId="0" xfId="0" applyNumberFormat="1" applyFont="1" applyAlignment="1">
      <alignment horizontal="center" vertical="top"/>
    </xf>
    <xf numFmtId="0" fontId="2" fillId="0" borderId="3" xfId="0" applyNumberFormat="1" applyFont="1" applyBorder="1" applyAlignment="1">
      <alignment horizontal="left" vertical="center" wrapText="1"/>
    </xf>
    <xf numFmtId="0" fontId="20" fillId="0" borderId="0" xfId="0" applyNumberFormat="1" applyFont="1" applyAlignment="1">
      <alignment horizontal="center" vertical="center" wrapText="1"/>
    </xf>
    <xf numFmtId="0" fontId="2" fillId="0" borderId="3" xfId="0" applyNumberFormat="1" applyFont="1" applyBorder="1" applyAlignment="1">
      <alignment horizontal="left" vertical="center" wrapText="1"/>
    </xf>
    <xf numFmtId="49" fontId="2" fillId="11" borderId="3" xfId="0" applyNumberFormat="1" applyFont="1" applyFill="1" applyBorder="1" applyAlignment="1">
      <alignment horizontal="left" vertical="center" wrapText="1" indent="1"/>
    </xf>
    <xf numFmtId="0" fontId="2" fillId="0" borderId="5" xfId="0" applyNumberFormat="1" applyFont="1" applyBorder="1" applyAlignment="1">
      <alignment vertical="center" wrapText="1"/>
    </xf>
    <xf numFmtId="0" fontId="2" fillId="0" borderId="0" xfId="0" applyNumberFormat="1" applyFont="1" applyAlignment="1">
      <alignment horizontal="right" vertical="center"/>
    </xf>
    <xf numFmtId="49" fontId="26" fillId="8" borderId="4" xfId="0" applyNumberFormat="1" applyFont="1" applyFill="1" applyBorder="1" applyAlignment="1">
      <alignment horizontal="left" vertical="center" wrapText="1"/>
    </xf>
    <xf numFmtId="0" fontId="62" fillId="0" borderId="0" xfId="0" applyNumberFormat="1" applyFont="1" applyAlignment="1">
      <alignment vertical="center"/>
    </xf>
    <xf numFmtId="0" fontId="63" fillId="0" borderId="0" xfId="0" applyNumberFormat="1" applyFont="1" applyAlignment="1">
      <alignment vertical="center"/>
    </xf>
    <xf numFmtId="49" fontId="20" fillId="0" borderId="13" xfId="0" applyNumberFormat="1" applyFont="1" applyBorder="1">
      <alignment vertical="top"/>
    </xf>
    <xf numFmtId="49" fontId="20" fillId="0" borderId="13" xfId="0" applyNumberFormat="1" applyFont="1" applyBorder="1">
      <alignment vertical="top"/>
    </xf>
    <xf numFmtId="0" fontId="20" fillId="0" borderId="13" xfId="0" applyNumberFormat="1" applyFont="1" applyBorder="1" applyAlignment="1">
      <alignment vertical="center" wrapText="1"/>
    </xf>
    <xf numFmtId="0" fontId="2" fillId="0" borderId="4" xfId="0" applyNumberFormat="1" applyFont="1" applyBorder="1" applyAlignment="1">
      <alignment horizontal="left" vertical="center" wrapText="1" indent="1"/>
    </xf>
    <xf numFmtId="0" fontId="45" fillId="0" borderId="13" xfId="0" applyNumberFormat="1" applyFont="1" applyBorder="1" applyAlignment="1">
      <alignment vertical="center" wrapText="1"/>
    </xf>
    <xf numFmtId="0" fontId="2" fillId="0" borderId="3" xfId="0" applyNumberFormat="1" applyFont="1" applyBorder="1" applyAlignment="1">
      <alignment horizontal="center" vertical="center" wrapText="1"/>
    </xf>
    <xf numFmtId="4" fontId="2" fillId="0" borderId="22" xfId="0" applyNumberFormat="1" applyFont="1" applyBorder="1" applyAlignment="1">
      <alignment horizontal="center" vertical="center" wrapText="1"/>
    </xf>
    <xf numFmtId="0" fontId="2" fillId="0" borderId="24" xfId="0" applyNumberFormat="1" applyFont="1" applyBorder="1" applyAlignment="1">
      <alignment horizontal="left" vertical="center" wrapText="1"/>
    </xf>
    <xf numFmtId="0" fontId="2" fillId="0" borderId="24" xfId="0" applyNumberFormat="1" applyFont="1" applyBorder="1" applyAlignment="1">
      <alignment horizontal="left" vertical="center" wrapText="1" indent="1"/>
    </xf>
    <xf numFmtId="4" fontId="2" fillId="10" borderId="24" xfId="0" applyNumberFormat="1" applyFont="1" applyFill="1" applyBorder="1" applyAlignment="1" applyProtection="1">
      <alignment horizontal="right" vertical="center" wrapText="1"/>
      <protection locked="0"/>
    </xf>
    <xf numFmtId="4" fontId="2" fillId="0" borderId="24" xfId="0" applyNumberFormat="1" applyFont="1" applyBorder="1" applyAlignment="1">
      <alignment horizontal="center" vertical="center" wrapText="1"/>
    </xf>
    <xf numFmtId="49" fontId="2" fillId="0" borderId="25" xfId="0" applyNumberFormat="1" applyFont="1" applyBorder="1" applyAlignment="1">
      <alignment horizontal="center" vertical="center" wrapText="1"/>
    </xf>
    <xf numFmtId="4" fontId="2" fillId="10" borderId="5" xfId="0" applyNumberFormat="1" applyFont="1" applyFill="1" applyBorder="1" applyAlignment="1" applyProtection="1">
      <alignment horizontal="right" vertical="center" wrapText="1"/>
      <protection locked="0"/>
    </xf>
    <xf numFmtId="4" fontId="2" fillId="10" borderId="25" xfId="0" applyNumberFormat="1" applyFont="1" applyFill="1" applyBorder="1" applyAlignment="1" applyProtection="1">
      <alignment horizontal="right" vertical="center" wrapText="1"/>
      <protection locked="0"/>
    </xf>
    <xf numFmtId="0" fontId="19" fillId="0" borderId="0" xfId="0" applyNumberFormat="1" applyFont="1" applyAlignment="1">
      <alignment horizontal="left" vertical="center" wrapText="1"/>
    </xf>
    <xf numFmtId="0" fontId="20" fillId="0" borderId="0" xfId="0" applyNumberFormat="1" applyFont="1" applyAlignment="1">
      <alignment horizontal="left" vertical="center" wrapText="1"/>
    </xf>
    <xf numFmtId="0" fontId="27" fillId="0" borderId="0" xfId="0" applyNumberFormat="1" applyFont="1" applyAlignment="1">
      <alignment horizontal="left" vertical="center" wrapText="1"/>
    </xf>
    <xf numFmtId="0" fontId="3" fillId="0" borderId="0" xfId="0" applyNumberFormat="1" applyFont="1" applyAlignment="1">
      <alignment horizontal="left" vertical="center" wrapText="1"/>
    </xf>
    <xf numFmtId="49" fontId="2" fillId="0" borderId="0" xfId="0" applyNumberFormat="1" applyFont="1" applyAlignment="1">
      <alignment horizontal="center" vertical="center" wrapText="1"/>
    </xf>
    <xf numFmtId="0" fontId="57" fillId="0" borderId="0" xfId="0" applyNumberFormat="1" applyFont="1" applyAlignment="1">
      <alignment vertical="center" wrapText="1"/>
    </xf>
    <xf numFmtId="0" fontId="20" fillId="0" borderId="0" xfId="0" applyNumberFormat="1" applyFont="1" applyAlignment="1">
      <alignment vertical="center" wrapText="1"/>
    </xf>
    <xf numFmtId="0" fontId="27" fillId="0" borderId="0" xfId="0" applyNumberFormat="1" applyFont="1" applyAlignment="1">
      <alignment vertical="center" wrapText="1"/>
    </xf>
    <xf numFmtId="0" fontId="3" fillId="0" borderId="0" xfId="0" applyNumberFormat="1" applyFont="1" applyAlignment="1">
      <alignment vertical="center" wrapText="1"/>
    </xf>
    <xf numFmtId="49" fontId="22" fillId="0" borderId="0" xfId="0" applyNumberFormat="1" applyFont="1" applyAlignment="1">
      <alignment horizontal="center" vertical="center"/>
    </xf>
    <xf numFmtId="4" fontId="2" fillId="0" borderId="26" xfId="0" applyNumberFormat="1" applyFont="1" applyBorder="1" applyAlignment="1">
      <alignment horizontal="center" vertical="center" wrapText="1"/>
    </xf>
    <xf numFmtId="4" fontId="2" fillId="10" borderId="26" xfId="0" applyNumberFormat="1" applyFont="1" applyFill="1" applyBorder="1" applyAlignment="1" applyProtection="1">
      <alignment horizontal="right" vertical="center" wrapText="1"/>
      <protection locked="0"/>
    </xf>
    <xf numFmtId="4" fontId="2" fillId="10" borderId="14" xfId="0" applyNumberFormat="1" applyFont="1" applyFill="1" applyBorder="1" applyAlignment="1" applyProtection="1">
      <alignment horizontal="right" vertical="center" wrapText="1"/>
      <protection locked="0"/>
    </xf>
    <xf numFmtId="49" fontId="2" fillId="0" borderId="24" xfId="0" applyNumberFormat="1" applyFont="1" applyBorder="1" applyAlignment="1">
      <alignment horizontal="center" vertical="center" wrapText="1"/>
    </xf>
    <xf numFmtId="0" fontId="2" fillId="0" borderId="26" xfId="0" applyNumberFormat="1" applyFont="1" applyBorder="1" applyAlignment="1">
      <alignment horizontal="left" vertical="center" wrapText="1"/>
    </xf>
    <xf numFmtId="0" fontId="8" fillId="0" borderId="0" xfId="0" applyNumberFormat="1" applyFont="1" applyAlignment="1">
      <alignment horizontal="center" vertical="center" wrapText="1"/>
    </xf>
    <xf numFmtId="0" fontId="2" fillId="8" borderId="6" xfId="0" applyNumberFormat="1" applyFont="1" applyFill="1" applyBorder="1" applyAlignment="1">
      <alignment vertical="center" wrapText="1"/>
    </xf>
    <xf numFmtId="0" fontId="19" fillId="8" borderId="4" xfId="0" applyNumberFormat="1" applyFont="1" applyFill="1" applyBorder="1" applyAlignment="1">
      <alignment vertical="center" wrapText="1"/>
    </xf>
    <xf numFmtId="170" fontId="2" fillId="5" borderId="3" xfId="0" applyNumberFormat="1" applyFont="1" applyFill="1" applyBorder="1" applyAlignment="1">
      <alignment horizontal="right" vertical="center" wrapText="1"/>
    </xf>
    <xf numFmtId="4" fontId="2" fillId="7" borderId="3" xfId="0" applyNumberFormat="1" applyFont="1" applyFill="1" applyBorder="1" applyAlignment="1" applyProtection="1">
      <alignment horizontal="right" vertical="center" wrapText="1"/>
      <protection locked="0"/>
    </xf>
    <xf numFmtId="49" fontId="64" fillId="10" borderId="3" xfId="0" applyNumberFormat="1" applyFont="1" applyFill="1" applyBorder="1" applyAlignment="1" applyProtection="1">
      <alignment horizontal="left" vertical="center" wrapText="1" indent="1"/>
      <protection locked="0"/>
    </xf>
    <xf numFmtId="0" fontId="43" fillId="6" borderId="0" xfId="0" applyNumberFormat="1" applyFont="1" applyFill="1" applyAlignment="1">
      <alignment horizontal="right" vertical="center"/>
    </xf>
    <xf numFmtId="49" fontId="0" fillId="0" borderId="3" xfId="0" applyNumberFormat="1" applyFont="1" applyBorder="1">
      <alignment vertical="top"/>
    </xf>
    <xf numFmtId="0" fontId="2" fillId="0" borderId="5" xfId="0" applyNumberFormat="1" applyFont="1" applyBorder="1" applyAlignment="1">
      <alignment horizontal="center" vertical="center" wrapText="1"/>
    </xf>
    <xf numFmtId="49" fontId="0" fillId="4" borderId="3" xfId="0" applyNumberFormat="1" applyFont="1" applyFill="1" applyBorder="1">
      <alignment vertical="top"/>
    </xf>
    <xf numFmtId="49" fontId="0" fillId="4" borderId="8" xfId="0" applyNumberFormat="1" applyFont="1" applyFill="1" applyBorder="1">
      <alignment vertical="top"/>
    </xf>
    <xf numFmtId="49" fontId="0" fillId="14" borderId="8" xfId="0" applyNumberFormat="1" applyFont="1" applyFill="1" applyBorder="1">
      <alignment vertical="top"/>
    </xf>
    <xf numFmtId="0" fontId="2" fillId="0" borderId="0" xfId="0" applyNumberFormat="1" applyFont="1" applyAlignment="1">
      <alignment vertical="center" wrapText="1"/>
    </xf>
    <xf numFmtId="0" fontId="3" fillId="0" borderId="0" xfId="0" applyNumberFormat="1" applyFont="1" applyAlignment="1">
      <alignment vertical="center" wrapText="1"/>
    </xf>
    <xf numFmtId="0" fontId="2" fillId="0" borderId="3" xfId="0" applyNumberFormat="1" applyFont="1" applyBorder="1" applyAlignment="1">
      <alignment horizontal="center" vertical="center" wrapText="1"/>
    </xf>
    <xf numFmtId="0" fontId="2" fillId="0" borderId="3" xfId="0" applyNumberFormat="1" applyFont="1" applyBorder="1" applyAlignment="1">
      <alignment horizontal="center" vertical="center" wrapText="1"/>
    </xf>
    <xf numFmtId="49" fontId="2" fillId="0" borderId="0" xfId="0" applyNumberFormat="1" applyFont="1" applyAlignment="1">
      <alignment vertical="center" wrapText="1"/>
    </xf>
    <xf numFmtId="0" fontId="2" fillId="0" borderId="0" xfId="0" applyNumberFormat="1" applyFont="1" applyAlignment="1">
      <alignment horizontal="center" vertical="center" wrapText="1"/>
    </xf>
    <xf numFmtId="49" fontId="0" fillId="0" borderId="5" xfId="0" applyNumberFormat="1" applyFont="1" applyBorder="1">
      <alignment vertical="top"/>
    </xf>
    <xf numFmtId="49" fontId="0" fillId="0" borderId="5" xfId="0" applyNumberFormat="1" applyFont="1" applyBorder="1" applyAlignment="1">
      <alignment horizontal="center" vertical="top"/>
    </xf>
    <xf numFmtId="49" fontId="0" fillId="0" borderId="6" xfId="0" applyNumberFormat="1" applyFont="1" applyBorder="1" applyAlignment="1">
      <alignment horizontal="center" vertical="top"/>
    </xf>
    <xf numFmtId="49" fontId="0" fillId="3" borderId="3" xfId="0" applyNumberFormat="1" applyFont="1" applyFill="1" applyBorder="1">
      <alignment vertical="top"/>
    </xf>
    <xf numFmtId="49" fontId="0" fillId="15" borderId="3" xfId="0" applyNumberFormat="1" applyFont="1" applyFill="1" applyBorder="1">
      <alignment vertical="top"/>
    </xf>
    <xf numFmtId="49" fontId="0" fillId="2" borderId="3" xfId="0" applyNumberFormat="1" applyFont="1" applyFill="1" applyBorder="1">
      <alignment vertical="top"/>
    </xf>
    <xf numFmtId="0" fontId="2" fillId="0" borderId="0" xfId="0" applyNumberFormat="1" applyFont="1" applyAlignment="1">
      <alignment horizontal="center" vertical="center" wrapText="1"/>
    </xf>
    <xf numFmtId="0" fontId="22" fillId="6" borderId="0" xfId="0" applyNumberFormat="1" applyFont="1" applyFill="1" applyAlignment="1">
      <alignment vertical="center" wrapText="1"/>
    </xf>
    <xf numFmtId="0" fontId="26" fillId="0" borderId="0" xfId="0" applyNumberFormat="1" applyFont="1" applyAlignment="1">
      <alignment horizontal="left" vertical="center" indent="1"/>
    </xf>
    <xf numFmtId="0" fontId="0" fillId="6" borderId="0" xfId="0" applyNumberFormat="1" applyFont="1" applyFill="1" applyAlignment="1">
      <alignment horizontal="right" vertical="center" wrapText="1" indent="1"/>
    </xf>
    <xf numFmtId="0" fontId="0" fillId="6" borderId="0" xfId="0" applyNumberFormat="1" applyFont="1" applyFill="1" applyAlignment="1">
      <alignment horizontal="left" vertical="center" wrapText="1" indent="1"/>
    </xf>
    <xf numFmtId="14" fontId="2" fillId="6" borderId="0" xfId="0" applyNumberFormat="1" applyFont="1" applyFill="1" applyAlignment="1">
      <alignment horizontal="center" vertical="center" wrapText="1"/>
    </xf>
    <xf numFmtId="168" fontId="2" fillId="0" borderId="5" xfId="0" applyNumberFormat="1" applyFont="1" applyBorder="1" applyAlignment="1">
      <alignment horizontal="center" vertical="center" wrapText="1"/>
    </xf>
    <xf numFmtId="49" fontId="7" fillId="0" borderId="6" xfId="0" applyNumberFormat="1" applyFont="1" applyBorder="1" applyAlignment="1">
      <alignment horizontal="center" vertical="center" wrapText="1"/>
    </xf>
    <xf numFmtId="49" fontId="2" fillId="0" borderId="0" xfId="0" applyNumberFormat="1" applyFont="1" applyAlignment="1">
      <alignment horizontal="center" vertical="center" wrapText="1"/>
    </xf>
    <xf numFmtId="0" fontId="2" fillId="0" borderId="14" xfId="0" applyNumberFormat="1" applyFont="1" applyBorder="1" applyAlignment="1">
      <alignment horizontal="center" vertical="center" wrapText="1"/>
    </xf>
    <xf numFmtId="49" fontId="0" fillId="16" borderId="3" xfId="0" applyNumberFormat="1" applyFont="1" applyFill="1" applyBorder="1">
      <alignment vertical="top"/>
    </xf>
    <xf numFmtId="0" fontId="8" fillId="0" borderId="0" xfId="0" applyNumberFormat="1" applyFont="1" applyAlignment="1">
      <alignment horizontal="center" vertical="center" wrapText="1"/>
    </xf>
    <xf numFmtId="0" fontId="65" fillId="0" borderId="0" xfId="0" applyNumberFormat="1" applyFont="1" applyAlignment="1">
      <alignment horizontal="left" vertical="center" wrapText="1"/>
    </xf>
    <xf numFmtId="0" fontId="65" fillId="0" borderId="0" xfId="0" applyNumberFormat="1" applyFont="1" applyAlignment="1">
      <alignment horizontal="left" vertical="center" wrapText="1"/>
    </xf>
    <xf numFmtId="14" fontId="65" fillId="6" borderId="0" xfId="0" applyNumberFormat="1" applyFont="1" applyFill="1" applyAlignment="1">
      <alignment horizontal="left" vertical="center" wrapText="1"/>
    </xf>
    <xf numFmtId="14" fontId="66" fillId="0" borderId="0" xfId="0" applyNumberFormat="1" applyFont="1" applyAlignment="1">
      <alignment horizontal="center" vertical="center" wrapText="1"/>
    </xf>
    <xf numFmtId="0" fontId="65" fillId="0" borderId="0" xfId="0" applyNumberFormat="1" applyFont="1" applyAlignment="1">
      <alignment horizontal="left" vertical="center" wrapText="1"/>
    </xf>
    <xf numFmtId="14" fontId="67" fillId="0" borderId="3" xfId="0" applyNumberFormat="1" applyFont="1" applyBorder="1" applyAlignment="1">
      <alignment horizontal="left" vertical="center" wrapText="1"/>
    </xf>
    <xf numFmtId="0" fontId="20" fillId="0" borderId="0" xfId="0" applyNumberFormat="1" applyFont="1" applyAlignment="1">
      <alignment vertical="center"/>
    </xf>
    <xf numFmtId="49" fontId="2" fillId="8" borderId="10" xfId="0" applyNumberFormat="1" applyFont="1" applyFill="1" applyBorder="1" applyAlignment="1">
      <alignment horizontal="center" vertical="center" wrapText="1"/>
    </xf>
    <xf numFmtId="49" fontId="2" fillId="5" borderId="14" xfId="0" applyNumberFormat="1" applyFont="1" applyFill="1" applyBorder="1" applyAlignment="1">
      <alignment horizontal="center" vertical="center" wrapText="1"/>
    </xf>
    <xf numFmtId="49" fontId="19" fillId="0" borderId="3" xfId="0" applyNumberFormat="1" applyFont="1" applyBorder="1" applyAlignment="1">
      <alignment horizontal="left" vertical="center" wrapText="1"/>
    </xf>
    <xf numFmtId="14" fontId="2" fillId="11" borderId="14" xfId="0" applyNumberFormat="1" applyFont="1" applyFill="1" applyBorder="1" applyAlignment="1">
      <alignment horizontal="left" vertical="center" wrapText="1" indent="1"/>
    </xf>
    <xf numFmtId="49" fontId="2" fillId="8" borderId="5" xfId="0" applyNumberFormat="1" applyFont="1" applyFill="1" applyBorder="1" applyAlignment="1">
      <alignment horizontal="right" vertical="center" wrapText="1"/>
    </xf>
    <xf numFmtId="0" fontId="20" fillId="0" borderId="14" xfId="0" applyNumberFormat="1" applyFont="1" applyBorder="1" applyAlignment="1">
      <alignment horizontal="center" vertical="center" wrapText="1"/>
    </xf>
    <xf numFmtId="49" fontId="2" fillId="0" borderId="4" xfId="0" applyNumberFormat="1" applyFont="1" applyBorder="1" applyAlignment="1">
      <alignment horizontal="center" vertical="top"/>
    </xf>
    <xf numFmtId="49" fontId="2" fillId="0" borderId="3" xfId="0" applyNumberFormat="1" applyFont="1" applyBorder="1" applyAlignment="1">
      <alignment horizontal="center" vertical="top"/>
    </xf>
    <xf numFmtId="0" fontId="2" fillId="0" borderId="14" xfId="0" applyNumberFormat="1" applyFont="1" applyBorder="1" applyAlignment="1">
      <alignment horizontal="center" vertical="center" wrapText="1"/>
    </xf>
    <xf numFmtId="49" fontId="2" fillId="0" borderId="5" xfId="0" applyNumberFormat="1" applyFont="1" applyBorder="1" applyAlignment="1">
      <alignment horizontal="center" vertical="top"/>
    </xf>
    <xf numFmtId="0" fontId="7" fillId="0" borderId="15" xfId="0" applyNumberFormat="1" applyFont="1" applyBorder="1" applyAlignment="1">
      <alignment vertical="top" wrapText="1"/>
    </xf>
    <xf numFmtId="0" fontId="7" fillId="0" borderId="0" xfId="0" applyNumberFormat="1" applyFont="1" applyAlignment="1">
      <alignment vertical="top" wrapText="1"/>
    </xf>
    <xf numFmtId="0" fontId="20" fillId="0" borderId="3" xfId="0" applyNumberFormat="1" applyFont="1" applyBorder="1" applyAlignment="1">
      <alignment horizontal="center" vertical="center" wrapText="1"/>
    </xf>
    <xf numFmtId="0" fontId="19" fillId="0" borderId="14" xfId="0" applyNumberFormat="1" applyFont="1" applyBorder="1" applyAlignment="1">
      <alignment horizontal="center" vertical="center" wrapText="1"/>
    </xf>
    <xf numFmtId="0" fontId="20" fillId="0" borderId="3" xfId="0" applyNumberFormat="1" applyFont="1" applyBorder="1" applyAlignment="1">
      <alignment horizontal="center" vertical="center"/>
    </xf>
    <xf numFmtId="0" fontId="2" fillId="0" borderId="3" xfId="0" applyNumberFormat="1" applyFont="1" applyBorder="1" applyAlignment="1">
      <alignment horizontal="center" vertical="center" wrapText="1"/>
    </xf>
    <xf numFmtId="49" fontId="2" fillId="0" borderId="0" xfId="0" applyNumberFormat="1" applyFont="1" applyAlignment="1">
      <alignment horizontal="center" vertical="center" wrapText="1"/>
    </xf>
    <xf numFmtId="0" fontId="2" fillId="0" borderId="3" xfId="0" applyNumberFormat="1" applyFont="1" applyBorder="1" applyAlignment="1">
      <alignment horizontal="center" vertical="center" wrapText="1"/>
    </xf>
    <xf numFmtId="0" fontId="2" fillId="0" borderId="5" xfId="0" applyNumberFormat="1" applyFont="1" applyBorder="1" applyAlignment="1">
      <alignment horizontal="center" vertical="center" wrapText="1"/>
    </xf>
    <xf numFmtId="0" fontId="2" fillId="0" borderId="3" xfId="0" applyNumberFormat="1" applyFont="1" applyBorder="1" applyAlignment="1">
      <alignment horizontal="center" vertical="center" wrapText="1"/>
    </xf>
    <xf numFmtId="0" fontId="2" fillId="0" borderId="8" xfId="0" applyNumberFormat="1" applyFont="1" applyBorder="1" applyAlignment="1">
      <alignment horizontal="center" vertical="center" wrapText="1"/>
    </xf>
    <xf numFmtId="49" fontId="48" fillId="10" borderId="3" xfId="0" applyNumberFormat="1" applyFont="1" applyFill="1" applyBorder="1" applyAlignment="1" applyProtection="1">
      <alignment horizontal="left" vertical="center" wrapText="1" indent="1"/>
      <protection locked="0"/>
    </xf>
    <xf numFmtId="0" fontId="19" fillId="0" borderId="13" xfId="0" applyNumberFormat="1" applyFont="1" applyBorder="1" applyAlignment="1">
      <alignment vertical="center"/>
    </xf>
    <xf numFmtId="0" fontId="2" fillId="0" borderId="4" xfId="0" applyNumberFormat="1" applyFont="1" applyBorder="1" applyAlignment="1">
      <alignment horizontal="center" vertical="center" wrapText="1"/>
    </xf>
    <xf numFmtId="49" fontId="2" fillId="11" borderId="3" xfId="0" applyNumberFormat="1" applyFont="1" applyFill="1" applyBorder="1" applyAlignment="1">
      <alignment horizontal="center" vertical="center" wrapText="1"/>
    </xf>
    <xf numFmtId="0" fontId="2" fillId="0" borderId="3" xfId="0" applyNumberFormat="1" applyFont="1" applyBorder="1" applyAlignment="1">
      <alignment horizontal="center" vertical="center" wrapText="1"/>
    </xf>
    <xf numFmtId="0" fontId="2" fillId="5" borderId="5" xfId="0" applyNumberFormat="1" applyFont="1" applyFill="1" applyBorder="1" applyAlignment="1">
      <alignment horizontal="left" vertical="top" wrapText="1" indent="1"/>
    </xf>
    <xf numFmtId="3" fontId="2" fillId="7" borderId="5" xfId="0" applyNumberFormat="1" applyFont="1" applyFill="1" applyBorder="1" applyAlignment="1" applyProtection="1">
      <alignment horizontal="right" vertical="center" wrapText="1"/>
      <protection locked="0"/>
    </xf>
    <xf numFmtId="49" fontId="26" fillId="7" borderId="3" xfId="0" applyNumberFormat="1" applyFont="1" applyFill="1" applyBorder="1" applyAlignment="1" applyProtection="1">
      <alignment horizontal="left" vertical="center" wrapText="1"/>
      <protection locked="0"/>
    </xf>
    <xf numFmtId="0" fontId="26" fillId="0" borderId="0" xfId="0" applyNumberFormat="1" applyFont="1" applyAlignment="1">
      <alignment vertical="center" wrapText="1"/>
    </xf>
    <xf numFmtId="0" fontId="2" fillId="0" borderId="4" xfId="0" applyNumberFormat="1" applyFont="1" applyBorder="1" applyAlignment="1">
      <alignment horizontal="center" vertical="center" wrapText="1"/>
    </xf>
    <xf numFmtId="0" fontId="2" fillId="0" borderId="3" xfId="0" applyNumberFormat="1" applyFont="1" applyBorder="1" applyAlignment="1">
      <alignment horizontal="center" vertical="center" wrapText="1"/>
    </xf>
    <xf numFmtId="0" fontId="8" fillId="6" borderId="0" xfId="0" applyNumberFormat="1" applyFont="1" applyFill="1" applyAlignment="1">
      <alignment horizontal="center" vertical="center" wrapText="1"/>
    </xf>
    <xf numFmtId="0" fontId="2" fillId="6" borderId="3" xfId="0" applyNumberFormat="1" applyFont="1" applyFill="1" applyBorder="1" applyAlignment="1">
      <alignment horizontal="center" vertical="center" wrapText="1"/>
    </xf>
    <xf numFmtId="0" fontId="0" fillId="0" borderId="11" xfId="0" applyNumberFormat="1" applyFont="1" applyBorder="1" applyAlignment="1">
      <alignment horizontal="center" vertical="center" wrapText="1"/>
    </xf>
    <xf numFmtId="0" fontId="0" fillId="0" borderId="21" xfId="0" applyNumberFormat="1" applyFont="1" applyBorder="1" applyAlignment="1">
      <alignment horizontal="center" vertical="center" wrapText="1"/>
    </xf>
    <xf numFmtId="0" fontId="0" fillId="0" borderId="8" xfId="0" applyNumberFormat="1" applyFont="1" applyBorder="1" applyAlignment="1">
      <alignment horizontal="center" vertical="center" wrapText="1"/>
    </xf>
    <xf numFmtId="0" fontId="0" fillId="0" borderId="14" xfId="0" applyNumberFormat="1" applyFont="1" applyBorder="1" applyAlignment="1">
      <alignment horizontal="center" vertical="center" wrapText="1"/>
    </xf>
    <xf numFmtId="0" fontId="0" fillId="0" borderId="8" xfId="0" applyNumberFormat="1" applyFont="1" applyBorder="1" applyAlignment="1">
      <alignment horizontal="center" vertical="center" wrapText="1"/>
    </xf>
    <xf numFmtId="0" fontId="0" fillId="0" borderId="14" xfId="0" applyNumberFormat="1" applyFont="1" applyBorder="1" applyAlignment="1">
      <alignment horizontal="center" vertical="center" wrapText="1"/>
    </xf>
    <xf numFmtId="49" fontId="7" fillId="6" borderId="6" xfId="0" applyNumberFormat="1" applyFont="1" applyFill="1" applyBorder="1" applyAlignment="1">
      <alignment horizontal="center" vertical="center" wrapText="1"/>
    </xf>
    <xf numFmtId="0" fontId="2" fillId="0" borderId="0" xfId="0" applyNumberFormat="1" applyFont="1" applyAlignment="1">
      <alignment horizontal="left" vertical="center" wrapText="1" indent="1"/>
    </xf>
    <xf numFmtId="0" fontId="54" fillId="0" borderId="8" xfId="0" applyNumberFormat="1" applyFont="1" applyBorder="1" applyAlignment="1">
      <alignment horizontal="center" vertical="center" wrapText="1"/>
    </xf>
    <xf numFmtId="49" fontId="19" fillId="0" borderId="0" xfId="0" applyNumberFormat="1" applyFont="1">
      <alignment vertical="top"/>
    </xf>
    <xf numFmtId="0" fontId="68" fillId="0" borderId="0" xfId="0" applyNumberFormat="1" applyFont="1" applyAlignment="1">
      <alignment vertical="center" wrapText="1"/>
    </xf>
    <xf numFmtId="0" fontId="0" fillId="0" borderId="0" xfId="0" applyNumberFormat="1" applyFont="1">
      <alignment vertical="top"/>
    </xf>
    <xf numFmtId="49" fontId="0" fillId="0" borderId="3" xfId="0" applyNumberFormat="1" applyFont="1" applyBorder="1">
      <alignment vertical="top"/>
    </xf>
    <xf numFmtId="49" fontId="2" fillId="0" borderId="0" xfId="0" applyNumberFormat="1" applyFont="1">
      <alignment vertical="top"/>
    </xf>
    <xf numFmtId="0" fontId="2" fillId="0" borderId="3" xfId="0" applyNumberFormat="1" applyFont="1" applyBorder="1" applyAlignment="1">
      <alignment horizontal="left" vertical="top" wrapText="1"/>
    </xf>
    <xf numFmtId="49" fontId="69" fillId="0" borderId="0" xfId="0" applyNumberFormat="1" applyFont="1" applyAlignment="1">
      <alignment horizontal="center" vertical="top" wrapText="1"/>
    </xf>
    <xf numFmtId="49" fontId="69" fillId="0" borderId="0" xfId="0" applyNumberFormat="1" applyFont="1" applyAlignment="1">
      <alignment vertical="top" wrapText="1"/>
    </xf>
    <xf numFmtId="49" fontId="65" fillId="12" borderId="3" xfId="0" applyNumberFormat="1" applyFont="1" applyFill="1" applyBorder="1" applyAlignment="1">
      <alignment horizontal="center" vertical="top" wrapText="1"/>
    </xf>
    <xf numFmtId="49" fontId="69" fillId="0" borderId="0" xfId="0" applyNumberFormat="1" applyFont="1" applyAlignment="1">
      <alignment horizontal="left" vertical="top" wrapText="1"/>
    </xf>
    <xf numFmtId="49" fontId="69" fillId="0" borderId="3" xfId="0" applyNumberFormat="1" applyFont="1" applyBorder="1" applyAlignment="1">
      <alignment horizontal="left" vertical="top" wrapText="1"/>
    </xf>
    <xf numFmtId="0" fontId="69" fillId="0" borderId="3" xfId="0" applyNumberFormat="1" applyFont="1" applyBorder="1" applyAlignment="1">
      <alignment horizontal="left" vertical="top" wrapText="1"/>
    </xf>
    <xf numFmtId="0" fontId="69" fillId="12" borderId="3" xfId="0" applyNumberFormat="1" applyFont="1" applyFill="1" applyBorder="1" applyAlignment="1">
      <alignment horizontal="right" vertical="center" wrapText="1"/>
    </xf>
    <xf numFmtId="49" fontId="69" fillId="0" borderId="3" xfId="0" applyNumberFormat="1" applyFont="1" applyBorder="1" applyAlignment="1">
      <alignment vertical="top" wrapText="1"/>
    </xf>
    <xf numFmtId="0" fontId="69" fillId="0" borderId="8" xfId="0" applyNumberFormat="1" applyFont="1" applyBorder="1" applyAlignment="1">
      <alignment horizontal="left" vertical="top" wrapText="1"/>
    </xf>
    <xf numFmtId="0" fontId="69" fillId="0" borderId="4" xfId="0" applyNumberFormat="1" applyFont="1" applyBorder="1" applyAlignment="1">
      <alignment horizontal="left" vertical="top" wrapText="1"/>
    </xf>
    <xf numFmtId="0" fontId="69" fillId="0" borderId="3" xfId="0" applyNumberFormat="1" applyFont="1" applyBorder="1" applyAlignment="1">
      <alignment vertical="top" wrapText="1"/>
    </xf>
    <xf numFmtId="0" fontId="65" fillId="12" borderId="3" xfId="0" applyNumberFormat="1" applyFont="1" applyFill="1" applyBorder="1" applyAlignment="1">
      <alignment horizontal="center" vertical="top" wrapText="1"/>
    </xf>
    <xf numFmtId="0" fontId="69" fillId="0" borderId="0" xfId="0" applyNumberFormat="1" applyFont="1" applyAlignment="1">
      <alignment vertical="top" wrapText="1"/>
    </xf>
    <xf numFmtId="0" fontId="63" fillId="0" borderId="0" xfId="0" applyNumberFormat="1" applyFont="1" applyAlignment="1">
      <alignment vertical="center" wrapText="1"/>
    </xf>
    <xf numFmtId="0" fontId="18" fillId="0" borderId="0" xfId="0" applyNumberFormat="1" applyFont="1" applyAlignment="1">
      <alignment horizontal="left" vertical="center" wrapText="1" indent="3"/>
    </xf>
    <xf numFmtId="3" fontId="0" fillId="0" borderId="4" xfId="0" applyNumberFormat="1" applyFont="1" applyBorder="1" applyAlignment="1">
      <alignment horizontal="right" vertical="center" wrapText="1"/>
    </xf>
    <xf numFmtId="0" fontId="2" fillId="11" borderId="5" xfId="0" applyNumberFormat="1" applyFont="1" applyFill="1" applyBorder="1" applyAlignment="1">
      <alignment horizontal="left" vertical="center" wrapText="1"/>
    </xf>
    <xf numFmtId="49" fontId="7" fillId="6" borderId="3" xfId="0" applyNumberFormat="1" applyFont="1" applyFill="1" applyBorder="1" applyAlignment="1">
      <alignment horizontal="center" vertical="center" wrapText="1"/>
    </xf>
    <xf numFmtId="49" fontId="43" fillId="8" borderId="4" xfId="0" applyNumberFormat="1" applyFont="1" applyFill="1" applyBorder="1" applyAlignment="1">
      <alignment vertical="center"/>
    </xf>
    <xf numFmtId="49" fontId="2" fillId="6" borderId="0" xfId="0" applyNumberFormat="1" applyFont="1" applyFill="1" applyAlignment="1">
      <alignment horizontal="center" vertical="center" wrapText="1"/>
    </xf>
    <xf numFmtId="0" fontId="2" fillId="6" borderId="0" xfId="0" applyNumberFormat="1" applyFont="1" applyFill="1" applyAlignment="1">
      <alignment horizontal="center" vertical="top" wrapText="1"/>
    </xf>
    <xf numFmtId="49" fontId="0" fillId="10" borderId="3" xfId="0" applyNumberFormat="1" applyFont="1" applyFill="1" applyBorder="1" applyAlignment="1" applyProtection="1">
      <alignment horizontal="left" vertical="center" wrapText="1" indent="1"/>
      <protection locked="0"/>
    </xf>
    <xf numFmtId="49" fontId="2" fillId="10" borderId="5" xfId="0" applyNumberFormat="1" applyFont="1" applyFill="1" applyBorder="1" applyAlignment="1" applyProtection="1">
      <alignment horizontal="left" vertical="center" wrapText="1"/>
      <protection locked="0"/>
    </xf>
    <xf numFmtId="49" fontId="2" fillId="10" borderId="3" xfId="0" quotePrefix="1" applyNumberFormat="1" applyFont="1" applyFill="1" applyBorder="1" applyAlignment="1" applyProtection="1">
      <alignment horizontal="left" vertical="center" wrapText="1"/>
      <protection locked="0"/>
    </xf>
    <xf numFmtId="14" fontId="2" fillId="11" borderId="14" xfId="0" applyNumberFormat="1" applyFont="1" applyFill="1" applyBorder="1" applyAlignment="1">
      <alignment horizontal="left" vertical="center" wrapText="1"/>
    </xf>
    <xf numFmtId="0" fontId="20" fillId="6" borderId="14" xfId="0" applyNumberFormat="1" applyFont="1" applyFill="1" applyBorder="1" applyAlignment="1">
      <alignment horizontal="center" vertical="center" wrapText="1"/>
    </xf>
    <xf numFmtId="0" fontId="8" fillId="6" borderId="15" xfId="0" applyNumberFormat="1" applyFont="1" applyFill="1" applyBorder="1" applyAlignment="1">
      <alignment vertical="top" wrapText="1"/>
    </xf>
    <xf numFmtId="0" fontId="8" fillId="6" borderId="0" xfId="0" applyNumberFormat="1" applyFont="1" applyFill="1" applyAlignment="1">
      <alignment vertical="top" wrapText="1"/>
    </xf>
    <xf numFmtId="14" fontId="2" fillId="11" borderId="21" xfId="0" applyNumberFormat="1" applyFont="1" applyFill="1" applyBorder="1" applyAlignment="1">
      <alignment horizontal="left" vertical="center" wrapText="1"/>
    </xf>
    <xf numFmtId="0" fontId="20" fillId="6" borderId="3" xfId="0" applyNumberFormat="1" applyFont="1" applyFill="1" applyBorder="1" applyAlignment="1">
      <alignment horizontal="center" vertical="center" wrapText="1"/>
    </xf>
    <xf numFmtId="0" fontId="12" fillId="8" borderId="6" xfId="0" applyNumberFormat="1" applyFont="1" applyFill="1" applyBorder="1" applyAlignment="1">
      <alignment vertical="center"/>
    </xf>
    <xf numFmtId="0" fontId="21" fillId="0" borderId="0" xfId="0" applyNumberFormat="1" applyFont="1" applyAlignment="1">
      <alignment vertical="center"/>
    </xf>
    <xf numFmtId="0" fontId="20" fillId="0" borderId="0" xfId="0" applyNumberFormat="1" applyFont="1" applyAlignment="1">
      <alignment vertical="center" wrapText="1"/>
    </xf>
    <xf numFmtId="49" fontId="19" fillId="0" borderId="0" xfId="0" applyNumberFormat="1" applyFont="1" applyAlignment="1">
      <alignment vertical="center" wrapText="1"/>
    </xf>
    <xf numFmtId="49" fontId="19" fillId="0" borderId="0" xfId="0" applyNumberFormat="1" applyFont="1">
      <alignment vertical="top"/>
    </xf>
    <xf numFmtId="0" fontId="61" fillId="0" borderId="0" xfId="0" applyNumberFormat="1" applyFont="1" applyAlignment="1">
      <alignment vertical="center" wrapText="1"/>
    </xf>
    <xf numFmtId="0" fontId="70" fillId="0" borderId="0" xfId="0" applyNumberFormat="1" applyFont="1" applyAlignment="1">
      <alignment vertical="center" wrapText="1"/>
    </xf>
    <xf numFmtId="0" fontId="19" fillId="0" borderId="0" xfId="0" applyNumberFormat="1" applyFont="1" applyAlignment="1">
      <alignment vertical="center" wrapText="1"/>
    </xf>
    <xf numFmtId="0" fontId="61" fillId="0" borderId="0" xfId="0" applyNumberFormat="1" applyFont="1" applyAlignment="1">
      <alignment horizontal="center" vertical="center" wrapText="1"/>
    </xf>
    <xf numFmtId="0" fontId="19" fillId="0" borderId="0" xfId="0" applyNumberFormat="1" applyFont="1" applyAlignment="1">
      <alignment vertical="center" wrapText="1"/>
    </xf>
    <xf numFmtId="14" fontId="2" fillId="6" borderId="0" xfId="0" applyNumberFormat="1" applyFont="1" applyFill="1" applyAlignment="1">
      <alignment horizontal="left" vertical="center" wrapText="1"/>
    </xf>
    <xf numFmtId="49" fontId="0" fillId="3" borderId="5" xfId="0" applyNumberFormat="1" applyFont="1" applyFill="1" applyBorder="1">
      <alignment vertical="top"/>
    </xf>
    <xf numFmtId="49" fontId="0" fillId="0" borderId="3" xfId="0" applyNumberFormat="1" applyFont="1" applyBorder="1" applyAlignment="1">
      <alignment horizontal="left" vertical="center" wrapText="1"/>
    </xf>
    <xf numFmtId="49" fontId="0" fillId="0" borderId="3" xfId="0" applyNumberFormat="1" applyFont="1" applyBorder="1" applyAlignment="1">
      <alignment horizontal="left" vertical="center" wrapText="1"/>
    </xf>
    <xf numFmtId="49" fontId="2" fillId="0" borderId="0" xfId="0" applyNumberFormat="1" applyFont="1" applyAlignment="1">
      <alignment vertical="center" wrapText="1"/>
    </xf>
    <xf numFmtId="0" fontId="0" fillId="0" borderId="3" xfId="0" applyNumberFormat="1" applyFont="1" applyBorder="1" applyAlignment="1">
      <alignment horizontal="left" vertical="center" wrapText="1" indent="1"/>
    </xf>
    <xf numFmtId="49" fontId="0" fillId="6" borderId="3" xfId="0" applyNumberFormat="1" applyFont="1" applyFill="1" applyBorder="1" applyAlignment="1">
      <alignment horizontal="center" vertical="center" wrapText="1"/>
    </xf>
    <xf numFmtId="0" fontId="0" fillId="6" borderId="3" xfId="0" applyNumberFormat="1" applyFont="1" applyFill="1" applyBorder="1" applyAlignment="1">
      <alignment horizontal="center" vertical="center" wrapText="1"/>
    </xf>
    <xf numFmtId="0" fontId="0" fillId="10" borderId="5" xfId="0" applyNumberFormat="1" applyFont="1" applyFill="1" applyBorder="1" applyAlignment="1" applyProtection="1">
      <alignment horizontal="left" vertical="center" wrapText="1" indent="2"/>
      <protection locked="0"/>
    </xf>
    <xf numFmtId="0" fontId="2" fillId="0" borderId="6" xfId="0" applyNumberFormat="1" applyFont="1" applyBorder="1" applyAlignment="1">
      <alignment horizontal="right" vertical="center" wrapText="1" indent="1"/>
    </xf>
    <xf numFmtId="0" fontId="2" fillId="0" borderId="4" xfId="0" applyNumberFormat="1" applyFont="1" applyBorder="1" applyAlignment="1">
      <alignment horizontal="right" vertical="center" wrapText="1" indent="1"/>
    </xf>
    <xf numFmtId="0" fontId="71" fillId="6" borderId="0" xfId="0" applyNumberFormat="1" applyFont="1" applyFill="1" applyAlignment="1">
      <alignment horizontal="right" vertical="center"/>
    </xf>
    <xf numFmtId="0" fontId="2" fillId="10" borderId="3" xfId="0" applyNumberFormat="1" applyFont="1" applyFill="1" applyBorder="1" applyAlignment="1" applyProtection="1">
      <alignment horizontal="center" vertical="center" wrapText="1"/>
      <protection locked="0"/>
    </xf>
    <xf numFmtId="49" fontId="69" fillId="0" borderId="4" xfId="0" applyNumberFormat="1" applyFont="1" applyBorder="1" applyAlignment="1">
      <alignment horizontal="left" vertical="top" wrapText="1"/>
    </xf>
    <xf numFmtId="49" fontId="69" fillId="0" borderId="5" xfId="0" applyNumberFormat="1" applyFont="1" applyBorder="1" applyAlignment="1">
      <alignment horizontal="left" vertical="top" wrapText="1"/>
    </xf>
    <xf numFmtId="0" fontId="69" fillId="0" borderId="8" xfId="0" applyNumberFormat="1" applyFont="1" applyBorder="1" applyAlignment="1">
      <alignment vertical="top" wrapText="1"/>
    </xf>
    <xf numFmtId="0" fontId="69" fillId="0" borderId="27" xfId="0" applyNumberFormat="1" applyFont="1" applyBorder="1" applyAlignment="1">
      <alignment horizontal="left" vertical="top" wrapText="1"/>
    </xf>
    <xf numFmtId="49" fontId="69" fillId="0" borderId="18" xfId="0" applyNumberFormat="1" applyFont="1" applyBorder="1" applyAlignment="1">
      <alignment horizontal="left" vertical="top" wrapText="1"/>
    </xf>
    <xf numFmtId="49" fontId="19" fillId="0" borderId="0" xfId="0" applyNumberFormat="1" applyFont="1" applyAlignment="1">
      <alignment horizontal="center" vertical="center" wrapText="1"/>
    </xf>
    <xf numFmtId="49" fontId="20" fillId="0" borderId="0" xfId="0" applyNumberFormat="1" applyFont="1" applyAlignment="1">
      <alignment horizontal="center" vertical="center" wrapText="1"/>
    </xf>
    <xf numFmtId="0" fontId="2" fillId="0" borderId="3" xfId="0" applyNumberFormat="1" applyFont="1" applyBorder="1" applyAlignment="1">
      <alignment horizontal="left" vertical="center" wrapText="1"/>
    </xf>
    <xf numFmtId="49" fontId="69" fillId="0" borderId="3" xfId="0" applyNumberFormat="1" applyFont="1" applyBorder="1" applyAlignment="1">
      <alignment horizontal="center" vertical="top" wrapText="1"/>
    </xf>
    <xf numFmtId="0" fontId="69" fillId="12" borderId="3" xfId="0" applyNumberFormat="1" applyFont="1" applyFill="1" applyBorder="1" applyAlignment="1">
      <alignment horizontal="center" vertical="center" wrapText="1"/>
    </xf>
    <xf numFmtId="49" fontId="69" fillId="0" borderId="28" xfId="0" applyNumberFormat="1" applyFont="1" applyBorder="1" applyAlignment="1">
      <alignment horizontal="center" vertical="top" wrapText="1"/>
    </xf>
    <xf numFmtId="49" fontId="69" fillId="0" borderId="8" xfId="0" applyNumberFormat="1" applyFont="1" applyBorder="1" applyAlignment="1">
      <alignment horizontal="center" vertical="top" wrapText="1"/>
    </xf>
    <xf numFmtId="49" fontId="12" fillId="8" borderId="5" xfId="0" applyNumberFormat="1" applyFont="1" applyFill="1" applyBorder="1" applyAlignment="1">
      <alignment horizontal="left" vertical="center" indent="1"/>
    </xf>
    <xf numFmtId="0" fontId="0" fillId="6" borderId="8" xfId="0" applyNumberFormat="1" applyFont="1" applyFill="1" applyBorder="1" applyAlignment="1">
      <alignment horizontal="center" vertical="center" wrapText="1"/>
    </xf>
    <xf numFmtId="0" fontId="2" fillId="6" borderId="8" xfId="0" applyNumberFormat="1" applyFont="1" applyFill="1" applyBorder="1" applyAlignment="1">
      <alignment horizontal="center" vertical="center" wrapText="1"/>
    </xf>
    <xf numFmtId="49" fontId="72" fillId="0" borderId="0" xfId="0" applyNumberFormat="1" applyFont="1" applyAlignment="1">
      <alignment horizontal="center" vertical="center" wrapText="1"/>
    </xf>
    <xf numFmtId="0" fontId="2" fillId="0" borderId="0" xfId="0" applyNumberFormat="1" applyFont="1" applyAlignment="1">
      <alignment vertical="center" wrapText="1"/>
    </xf>
    <xf numFmtId="49" fontId="2" fillId="0" borderId="0" xfId="0" applyNumberFormat="1" applyFont="1">
      <alignment vertical="top"/>
    </xf>
    <xf numFmtId="0" fontId="2" fillId="6" borderId="0" xfId="0" applyNumberFormat="1" applyFont="1" applyFill="1" applyAlignment="1">
      <alignment vertical="center" wrapText="1"/>
    </xf>
    <xf numFmtId="0" fontId="2" fillId="0" borderId="29" xfId="0" applyNumberFormat="1" applyFont="1" applyBorder="1" applyAlignment="1">
      <alignment vertical="center" wrapText="1"/>
    </xf>
    <xf numFmtId="0" fontId="19" fillId="0" borderId="0" xfId="0" applyNumberFormat="1" applyFont="1" applyAlignment="1">
      <alignment vertical="center" wrapText="1"/>
    </xf>
    <xf numFmtId="49" fontId="2" fillId="0" borderId="0" xfId="0" applyNumberFormat="1" applyFont="1">
      <alignment vertical="top"/>
    </xf>
    <xf numFmtId="0" fontId="2" fillId="6" borderId="0" xfId="0" applyNumberFormat="1" applyFont="1" applyFill="1" applyAlignment="1">
      <alignment vertical="center" wrapText="1"/>
    </xf>
    <xf numFmtId="49" fontId="2" fillId="0" borderId="0" xfId="0" applyNumberFormat="1" applyFont="1">
      <alignment vertical="top"/>
    </xf>
    <xf numFmtId="0" fontId="2" fillId="0" borderId="0" xfId="0" applyNumberFormat="1" applyFont="1" applyAlignment="1">
      <alignment vertical="center"/>
    </xf>
    <xf numFmtId="0" fontId="0" fillId="6" borderId="8" xfId="0" applyNumberFormat="1" applyFont="1" applyFill="1" applyBorder="1" applyAlignment="1">
      <alignment horizontal="center" vertical="center" wrapText="1"/>
    </xf>
    <xf numFmtId="0" fontId="0" fillId="6" borderId="28" xfId="0" applyNumberFormat="1" applyFont="1" applyFill="1" applyBorder="1" applyAlignment="1">
      <alignment horizontal="center" vertical="center" wrapText="1"/>
    </xf>
    <xf numFmtId="0" fontId="2" fillId="8" borderId="21" xfId="0" applyNumberFormat="1" applyFont="1" applyFill="1" applyBorder="1" applyAlignment="1">
      <alignment vertical="center" wrapText="1"/>
    </xf>
    <xf numFmtId="0" fontId="2" fillId="0" borderId="0" xfId="0" applyNumberFormat="1" applyFont="1" applyAlignment="1">
      <alignment vertical="center" wrapText="1"/>
    </xf>
    <xf numFmtId="0" fontId="2" fillId="6" borderId="30" xfId="0" applyNumberFormat="1" applyFont="1" applyFill="1" applyBorder="1" applyAlignment="1">
      <alignment vertical="center" wrapText="1"/>
    </xf>
    <xf numFmtId="0" fontId="22" fillId="6" borderId="30" xfId="0" applyNumberFormat="1" applyFont="1" applyFill="1" applyBorder="1" applyAlignment="1">
      <alignment horizontal="center" wrapText="1"/>
    </xf>
    <xf numFmtId="49" fontId="43" fillId="0" borderId="30" xfId="0" applyNumberFormat="1" applyFont="1" applyBorder="1">
      <alignment vertical="top"/>
    </xf>
    <xf numFmtId="49" fontId="73" fillId="0" borderId="0" xfId="0" applyNumberFormat="1" applyFont="1" applyAlignment="1">
      <alignment vertical="center"/>
    </xf>
    <xf numFmtId="49" fontId="17" fillId="0" borderId="0" xfId="0" applyNumberFormat="1" applyFont="1" applyAlignment="1">
      <alignment vertical="center"/>
    </xf>
    <xf numFmtId="49" fontId="17" fillId="0" borderId="0" xfId="0" applyNumberFormat="1" applyFont="1" applyAlignment="1">
      <alignment vertical="center"/>
    </xf>
    <xf numFmtId="49" fontId="73" fillId="0" borderId="0" xfId="0" applyNumberFormat="1" applyFont="1" applyAlignment="1">
      <alignment vertical="center" wrapText="1"/>
    </xf>
    <xf numFmtId="49" fontId="17" fillId="0" borderId="0" xfId="0" applyNumberFormat="1" applyFont="1" applyAlignment="1">
      <alignment vertical="center" wrapText="1"/>
    </xf>
    <xf numFmtId="49" fontId="17" fillId="0" borderId="0" xfId="0" applyNumberFormat="1" applyFont="1">
      <alignment vertical="top"/>
    </xf>
    <xf numFmtId="49" fontId="17" fillId="0" borderId="0" xfId="0" applyNumberFormat="1" applyFont="1" applyAlignment="1">
      <alignment vertical="center" wrapText="1"/>
    </xf>
    <xf numFmtId="49" fontId="73" fillId="0" borderId="0" xfId="0" applyNumberFormat="1" applyFont="1" applyAlignment="1">
      <alignment horizontal="center" vertical="center" wrapText="1"/>
    </xf>
    <xf numFmtId="49" fontId="17" fillId="0" borderId="0" xfId="0" applyNumberFormat="1" applyFont="1" applyAlignment="1">
      <alignment horizontal="center" vertical="center" wrapText="1"/>
    </xf>
    <xf numFmtId="49" fontId="73" fillId="0" borderId="0" xfId="0" applyNumberFormat="1" applyFont="1" applyAlignment="1">
      <alignment horizontal="center" vertical="center" wrapText="1"/>
    </xf>
    <xf numFmtId="0" fontId="17" fillId="0" borderId="0" xfId="0" applyNumberFormat="1" applyFont="1" applyAlignment="1">
      <alignment horizontal="center" vertical="center" wrapText="1"/>
    </xf>
    <xf numFmtId="49" fontId="73" fillId="0" borderId="0" xfId="0" applyNumberFormat="1" applyFont="1" applyAlignment="1">
      <alignment vertical="center" wrapText="1"/>
    </xf>
    <xf numFmtId="49" fontId="17" fillId="6" borderId="0" xfId="0" applyNumberFormat="1" applyFont="1" applyFill="1" applyAlignment="1">
      <alignment vertical="center" wrapText="1"/>
    </xf>
    <xf numFmtId="49" fontId="17" fillId="0" borderId="0" xfId="0" applyNumberFormat="1" applyFont="1">
      <alignment vertical="top"/>
    </xf>
    <xf numFmtId="49" fontId="17" fillId="6" borderId="0" xfId="0" applyNumberFormat="1" applyFont="1" applyFill="1" applyAlignment="1">
      <alignment vertical="center"/>
    </xf>
    <xf numFmtId="49" fontId="73" fillId="0" borderId="0" xfId="0" applyNumberFormat="1" applyFont="1" applyAlignment="1">
      <alignment vertical="center"/>
    </xf>
    <xf numFmtId="49" fontId="17" fillId="0" borderId="0" xfId="0" applyNumberFormat="1" applyFont="1">
      <alignment vertical="top"/>
    </xf>
    <xf numFmtId="4" fontId="17" fillId="6" borderId="0" xfId="0" applyNumberFormat="1" applyFont="1" applyFill="1" applyAlignment="1">
      <alignment vertical="center"/>
    </xf>
    <xf numFmtId="3" fontId="17" fillId="7" borderId="3" xfId="0" applyNumberFormat="1" applyFont="1" applyFill="1" applyBorder="1" applyAlignment="1" applyProtection="1">
      <alignment horizontal="right" vertical="center"/>
      <protection locked="0"/>
    </xf>
    <xf numFmtId="49" fontId="3" fillId="0" borderId="0" xfId="0" applyNumberFormat="1" applyFont="1" applyAlignment="1">
      <alignment horizontal="center" vertical="center" wrapText="1"/>
    </xf>
    <xf numFmtId="49" fontId="2" fillId="6" borderId="0" xfId="0" applyNumberFormat="1" applyFont="1" applyFill="1" applyAlignment="1">
      <alignment horizontal="center" vertical="center" wrapText="1"/>
    </xf>
    <xf numFmtId="49" fontId="20" fillId="0" borderId="4" xfId="0" applyNumberFormat="1" applyFont="1" applyBorder="1" applyAlignment="1">
      <alignment horizontal="left" vertical="center" indent="1"/>
    </xf>
    <xf numFmtId="0" fontId="2" fillId="0" borderId="15" xfId="0" applyNumberFormat="1" applyFont="1" applyBorder="1" applyAlignment="1">
      <alignment vertical="top" wrapText="1"/>
    </xf>
    <xf numFmtId="0" fontId="2" fillId="0" borderId="5" xfId="0" applyNumberFormat="1" applyFont="1" applyBorder="1" applyAlignment="1">
      <alignment horizontal="center" vertical="center" wrapText="1"/>
    </xf>
    <xf numFmtId="0" fontId="2" fillId="0" borderId="8" xfId="0" applyNumberFormat="1" applyFont="1" applyBorder="1" applyAlignment="1">
      <alignment horizontal="center" vertical="center" wrapText="1"/>
    </xf>
    <xf numFmtId="0" fontId="2" fillId="0" borderId="3" xfId="0" applyNumberFormat="1" applyFont="1" applyBorder="1" applyAlignment="1">
      <alignment horizontal="center" vertical="center" wrapText="1"/>
    </xf>
    <xf numFmtId="49" fontId="19" fillId="0" borderId="0" xfId="0" applyNumberFormat="1" applyFont="1" applyAlignment="1">
      <alignment horizontal="center" vertical="center" wrapText="1"/>
    </xf>
    <xf numFmtId="49" fontId="20" fillId="0" borderId="0" xfId="0" applyNumberFormat="1" applyFont="1" applyAlignment="1">
      <alignment horizontal="center" vertical="center" wrapText="1"/>
    </xf>
    <xf numFmtId="49" fontId="2" fillId="0" borderId="3" xfId="0" applyNumberFormat="1" applyFont="1" applyBorder="1" applyAlignment="1">
      <alignment horizontal="center" vertical="center" wrapText="1"/>
    </xf>
    <xf numFmtId="0" fontId="2" fillId="0" borderId="3" xfId="0" applyNumberFormat="1" applyFont="1" applyBorder="1" applyAlignment="1">
      <alignment horizontal="left" vertical="center" wrapText="1" indent="1"/>
    </xf>
    <xf numFmtId="49" fontId="2" fillId="10" borderId="3" xfId="0" applyNumberFormat="1" applyFont="1" applyFill="1" applyBorder="1" applyAlignment="1" applyProtection="1">
      <alignment horizontal="left" vertical="center" wrapText="1"/>
      <protection locked="0"/>
    </xf>
    <xf numFmtId="0" fontId="8" fillId="0" borderId="0" xfId="0" applyNumberFormat="1" applyFont="1" applyAlignment="1">
      <alignment horizontal="center" vertical="center" wrapText="1"/>
    </xf>
    <xf numFmtId="49" fontId="65" fillId="0" borderId="3" xfId="0" applyNumberFormat="1" applyFont="1" applyBorder="1" applyAlignment="1">
      <alignment horizontal="center" vertical="center" wrapText="1"/>
    </xf>
    <xf numFmtId="0" fontId="65" fillId="0" borderId="3" xfId="0" applyNumberFormat="1" applyFont="1" applyBorder="1" applyAlignment="1">
      <alignment horizontal="center" vertical="center" wrapText="1"/>
    </xf>
    <xf numFmtId="49" fontId="65" fillId="0" borderId="8" xfId="0" applyNumberFormat="1" applyFont="1" applyBorder="1" applyAlignment="1">
      <alignment horizontal="center" vertical="center" wrapText="1"/>
    </xf>
    <xf numFmtId="49" fontId="65" fillId="0" borderId="14" xfId="0" applyNumberFormat="1" applyFont="1" applyBorder="1" applyAlignment="1">
      <alignment horizontal="center" vertical="center" wrapText="1"/>
    </xf>
    <xf numFmtId="0" fontId="65" fillId="0" borderId="8" xfId="0" applyNumberFormat="1" applyFont="1" applyBorder="1" applyAlignment="1">
      <alignment horizontal="center" vertical="center" wrapText="1"/>
    </xf>
    <xf numFmtId="49" fontId="69" fillId="0" borderId="13" xfId="0" applyNumberFormat="1" applyFont="1" applyBorder="1" applyAlignment="1">
      <alignment horizontal="center" vertical="top" wrapText="1"/>
    </xf>
    <xf numFmtId="49" fontId="69" fillId="0" borderId="27" xfId="0" applyNumberFormat="1" applyFont="1" applyBorder="1" applyAlignment="1">
      <alignment horizontal="left" vertical="top" wrapText="1"/>
    </xf>
    <xf numFmtId="0" fontId="65" fillId="0" borderId="3" xfId="0" applyNumberFormat="1" applyFont="1" applyBorder="1" applyAlignment="1">
      <alignment vertical="center" wrapText="1"/>
    </xf>
    <xf numFmtId="0" fontId="65" fillId="0" borderId="8" xfId="0" applyNumberFormat="1" applyFont="1" applyBorder="1" applyAlignment="1">
      <alignment vertical="center" wrapText="1"/>
    </xf>
    <xf numFmtId="0" fontId="65" fillId="0" borderId="14" xfId="0" applyNumberFormat="1" applyFont="1" applyBorder="1" applyAlignment="1">
      <alignment vertical="center" wrapText="1"/>
    </xf>
    <xf numFmtId="49" fontId="65" fillId="0" borderId="3" xfId="0" applyNumberFormat="1" applyFont="1" applyBorder="1" applyAlignment="1">
      <alignment horizontal="left" vertical="top" wrapText="1"/>
    </xf>
    <xf numFmtId="170" fontId="2" fillId="10" borderId="8" xfId="0" applyNumberFormat="1" applyFont="1" applyFill="1" applyBorder="1" applyAlignment="1" applyProtection="1">
      <alignment horizontal="right" vertical="center" wrapText="1"/>
      <protection locked="0"/>
    </xf>
    <xf numFmtId="0" fontId="2" fillId="0" borderId="4" xfId="0" applyNumberFormat="1" applyFont="1" applyBorder="1" applyAlignment="1">
      <alignment horizontal="center" vertical="center" wrapText="1"/>
    </xf>
    <xf numFmtId="0" fontId="2" fillId="0" borderId="11" xfId="0" applyNumberFormat="1" applyFont="1" applyBorder="1" applyAlignment="1">
      <alignment horizontal="center" vertical="center" wrapText="1"/>
    </xf>
    <xf numFmtId="49" fontId="2" fillId="8" borderId="28" xfId="0" applyNumberFormat="1" applyFont="1" applyFill="1" applyBorder="1" applyAlignment="1">
      <alignment vertical="center" wrapText="1"/>
    </xf>
    <xf numFmtId="49" fontId="12" fillId="8" borderId="10" xfId="0" applyNumberFormat="1" applyFont="1" applyFill="1" applyBorder="1" applyAlignment="1">
      <alignment horizontal="left" vertical="center" indent="1"/>
    </xf>
    <xf numFmtId="49" fontId="2" fillId="8" borderId="28" xfId="0" applyNumberFormat="1" applyFont="1" applyFill="1" applyBorder="1" applyAlignment="1">
      <alignment vertical="center" wrapText="1"/>
    </xf>
    <xf numFmtId="49" fontId="12" fillId="8" borderId="10" xfId="0" applyNumberFormat="1" applyFont="1" applyFill="1" applyBorder="1" applyAlignment="1">
      <alignment horizontal="left" vertical="center" indent="1"/>
    </xf>
    <xf numFmtId="0" fontId="46" fillId="0" borderId="0" xfId="0" applyNumberFormat="1" applyFont="1" applyAlignment="1">
      <alignment horizontal="center" vertical="center" wrapText="1"/>
    </xf>
    <xf numFmtId="4" fontId="2" fillId="10" borderId="4" xfId="0" applyNumberFormat="1" applyFont="1" applyFill="1" applyBorder="1" applyAlignment="1" applyProtection="1">
      <alignment horizontal="right" vertical="center" wrapText="1"/>
      <protection locked="0"/>
    </xf>
    <xf numFmtId="170" fontId="2" fillId="10" borderId="4" xfId="0" applyNumberFormat="1" applyFont="1" applyFill="1" applyBorder="1" applyAlignment="1" applyProtection="1">
      <alignment horizontal="right" vertical="center" wrapText="1"/>
      <protection locked="0"/>
    </xf>
    <xf numFmtId="170" fontId="2" fillId="5" borderId="4" xfId="0" applyNumberFormat="1" applyFont="1" applyFill="1" applyBorder="1" applyAlignment="1">
      <alignment horizontal="right" vertical="center" wrapText="1"/>
    </xf>
    <xf numFmtId="4" fontId="2" fillId="10" borderId="21" xfId="0" applyNumberFormat="1" applyFont="1" applyFill="1" applyBorder="1" applyAlignment="1" applyProtection="1">
      <alignment horizontal="right" vertical="center" wrapText="1"/>
      <protection locked="0"/>
    </xf>
    <xf numFmtId="49" fontId="65" fillId="12" borderId="3" xfId="0" applyNumberFormat="1" applyFont="1" applyFill="1" applyBorder="1" applyAlignment="1">
      <alignment horizontal="center" vertical="top"/>
    </xf>
    <xf numFmtId="49" fontId="69" fillId="0" borderId="0" xfId="0" applyNumberFormat="1" applyFont="1">
      <alignment vertical="top"/>
    </xf>
    <xf numFmtId="49" fontId="65" fillId="0" borderId="3" xfId="0" applyNumberFormat="1" applyFont="1" applyBorder="1" applyAlignment="1">
      <alignment horizontal="center" vertical="top" wrapText="1"/>
    </xf>
    <xf numFmtId="49" fontId="65" fillId="0" borderId="3" xfId="0" applyNumberFormat="1" applyFont="1" applyBorder="1" applyAlignment="1">
      <alignment vertical="top" wrapText="1"/>
    </xf>
    <xf numFmtId="0" fontId="65" fillId="0" borderId="3" xfId="0" applyNumberFormat="1" applyFont="1" applyBorder="1" applyAlignment="1">
      <alignment vertical="top" wrapText="1"/>
    </xf>
    <xf numFmtId="49" fontId="65" fillId="0" borderId="3" xfId="0" applyNumberFormat="1" applyFont="1" applyBorder="1">
      <alignment vertical="top"/>
    </xf>
    <xf numFmtId="49" fontId="69" fillId="0" borderId="3" xfId="0" applyNumberFormat="1" applyFont="1" applyBorder="1">
      <alignment vertical="top"/>
    </xf>
    <xf numFmtId="49" fontId="65" fillId="0" borderId="0" xfId="0" applyNumberFormat="1" applyFont="1" applyAlignment="1">
      <alignment horizontal="center" vertical="center" wrapText="1"/>
    </xf>
    <xf numFmtId="49" fontId="65" fillId="0" borderId="0" xfId="0" applyNumberFormat="1" applyFont="1" applyAlignment="1">
      <alignment horizontal="left" vertical="center" wrapText="1"/>
    </xf>
    <xf numFmtId="49" fontId="65" fillId="17" borderId="0" xfId="0" applyNumberFormat="1" applyFont="1" applyFill="1" applyAlignment="1">
      <alignment horizontal="center" vertical="center" wrapText="1"/>
    </xf>
    <xf numFmtId="0" fontId="65" fillId="0" borderId="0" xfId="0" applyNumberFormat="1" applyFont="1" applyAlignment="1">
      <alignment vertical="center" wrapText="1"/>
    </xf>
    <xf numFmtId="0" fontId="20" fillId="0" borderId="3" xfId="0" applyNumberFormat="1" applyFont="1" applyBorder="1" applyAlignment="1">
      <alignment horizontal="left" vertical="center" wrapText="1" indent="3"/>
    </xf>
    <xf numFmtId="49" fontId="20" fillId="0" borderId="3" xfId="0" applyNumberFormat="1" applyFont="1" applyBorder="1" applyAlignment="1">
      <alignment vertical="center" wrapText="1"/>
    </xf>
    <xf numFmtId="0" fontId="20" fillId="0" borderId="27" xfId="0" applyNumberFormat="1" applyFont="1" applyBorder="1" applyAlignment="1">
      <alignment horizontal="left" vertical="center" wrapText="1" indent="1"/>
    </xf>
    <xf numFmtId="0" fontId="20" fillId="0" borderId="27" xfId="0" applyNumberFormat="1" applyFont="1" applyBorder="1" applyAlignment="1">
      <alignment horizontal="center" vertical="center" wrapText="1"/>
    </xf>
    <xf numFmtId="0" fontId="20" fillId="0" borderId="14" xfId="0" applyNumberFormat="1" applyFont="1" applyBorder="1" applyAlignment="1">
      <alignment horizontal="left" vertical="center" wrapText="1" indent="1"/>
    </xf>
    <xf numFmtId="0" fontId="20" fillId="0" borderId="8" xfId="0" applyNumberFormat="1" applyFont="1" applyBorder="1" applyAlignment="1">
      <alignment horizontal="left" vertical="center" wrapText="1" indent="1"/>
    </xf>
    <xf numFmtId="49" fontId="69" fillId="12" borderId="3" xfId="0" applyNumberFormat="1" applyFont="1" applyFill="1" applyBorder="1" applyAlignment="1">
      <alignment horizontal="center" vertical="top" wrapText="1"/>
    </xf>
    <xf numFmtId="49" fontId="69" fillId="12" borderId="3" xfId="0" applyNumberFormat="1" applyFont="1" applyFill="1" applyBorder="1" applyAlignment="1">
      <alignment horizontal="left" vertical="top" wrapText="1"/>
    </xf>
    <xf numFmtId="49" fontId="69" fillId="12" borderId="0" xfId="0" applyNumberFormat="1" applyFont="1" applyFill="1" applyAlignment="1">
      <alignment horizontal="left" vertical="top" wrapText="1"/>
    </xf>
    <xf numFmtId="0" fontId="65" fillId="0" borderId="5" xfId="0" applyNumberFormat="1" applyFont="1" applyBorder="1" applyAlignment="1">
      <alignment horizontal="center" vertical="center" wrapText="1"/>
    </xf>
    <xf numFmtId="0" fontId="65" fillId="0" borderId="5" xfId="0" applyNumberFormat="1" applyFont="1" applyBorder="1" applyAlignment="1">
      <alignment horizontal="center" vertical="center"/>
    </xf>
    <xf numFmtId="49" fontId="20" fillId="6" borderId="3" xfId="0" applyNumberFormat="1" applyFont="1" applyFill="1" applyBorder="1" applyAlignment="1">
      <alignment horizontal="center" vertical="center"/>
    </xf>
    <xf numFmtId="0" fontId="20" fillId="6" borderId="3" xfId="0" applyNumberFormat="1" applyFont="1" applyFill="1" applyBorder="1" applyAlignment="1">
      <alignment horizontal="left" vertical="center" wrapText="1" indent="1"/>
    </xf>
    <xf numFmtId="0" fontId="20" fillId="6" borderId="3" xfId="0" applyNumberFormat="1" applyFont="1" applyFill="1" applyBorder="1" applyAlignment="1">
      <alignment vertical="center" wrapText="1"/>
    </xf>
    <xf numFmtId="49" fontId="20" fillId="0" borderId="3" xfId="0" applyNumberFormat="1" applyFont="1" applyBorder="1" applyAlignment="1">
      <alignment horizontal="center" vertical="center"/>
    </xf>
    <xf numFmtId="0" fontId="20" fillId="0" borderId="3" xfId="0" applyNumberFormat="1" applyFont="1" applyBorder="1" applyAlignment="1">
      <alignment horizontal="left" vertical="center" wrapText="1" indent="1"/>
    </xf>
    <xf numFmtId="0" fontId="20" fillId="0" borderId="3" xfId="0" applyNumberFormat="1" applyFont="1" applyBorder="1" applyAlignment="1">
      <alignment horizontal="left" vertical="center" wrapText="1"/>
    </xf>
    <xf numFmtId="0" fontId="20" fillId="0" borderId="3" xfId="0" applyNumberFormat="1" applyFont="1" applyBorder="1" applyAlignment="1">
      <alignment vertical="center" wrapText="1"/>
    </xf>
    <xf numFmtId="0" fontId="20" fillId="0" borderId="3" xfId="0" applyNumberFormat="1" applyFont="1" applyBorder="1" applyAlignment="1">
      <alignment horizontal="center" vertical="center" wrapText="1"/>
    </xf>
    <xf numFmtId="0" fontId="20" fillId="6" borderId="3" xfId="0" applyNumberFormat="1" applyFont="1" applyFill="1" applyBorder="1" applyAlignment="1">
      <alignment horizontal="left" vertical="center" wrapText="1" indent="2"/>
    </xf>
    <xf numFmtId="49" fontId="20" fillId="0" borderId="3" xfId="0" applyNumberFormat="1" applyFont="1" applyBorder="1" applyAlignment="1">
      <alignment horizontal="left" vertical="center" wrapText="1"/>
    </xf>
    <xf numFmtId="49" fontId="20" fillId="0" borderId="3" xfId="0" applyNumberFormat="1" applyFont="1" applyBorder="1" applyAlignment="1">
      <alignment horizontal="left" vertical="center" wrapText="1"/>
    </xf>
    <xf numFmtId="2" fontId="2" fillId="0" borderId="14" xfId="0" applyNumberFormat="1" applyFont="1" applyBorder="1" applyAlignment="1">
      <alignment horizontal="center" vertical="center" wrapText="1"/>
    </xf>
    <xf numFmtId="0" fontId="74" fillId="0" borderId="0" xfId="0" applyNumberFormat="1" applyFont="1" applyAlignment="1">
      <alignment horizontal="center" vertical="center" wrapText="1"/>
    </xf>
    <xf numFmtId="0" fontId="75" fillId="6" borderId="0" xfId="0" applyNumberFormat="1" applyFont="1" applyFill="1" applyAlignment="1">
      <alignment horizontal="right" vertical="center"/>
    </xf>
    <xf numFmtId="0" fontId="2" fillId="0" borderId="14" xfId="0" applyNumberFormat="1" applyFont="1" applyBorder="1" applyAlignment="1">
      <alignment horizontal="left" vertical="center" wrapText="1"/>
    </xf>
    <xf numFmtId="49" fontId="19" fillId="0" borderId="0" xfId="0" applyNumberFormat="1" applyFont="1" applyAlignment="1">
      <alignment horizontal="center" vertical="center" wrapText="1"/>
    </xf>
    <xf numFmtId="0" fontId="20" fillId="0" borderId="19" xfId="0" applyNumberFormat="1" applyFont="1" applyBorder="1" applyAlignment="1">
      <alignment vertical="center" wrapText="1"/>
    </xf>
    <xf numFmtId="49" fontId="26" fillId="0" borderId="5" xfId="0" applyNumberFormat="1" applyFont="1" applyBorder="1" applyAlignment="1">
      <alignment horizontal="left" vertical="center" wrapText="1"/>
    </xf>
    <xf numFmtId="49" fontId="26" fillId="0" borderId="6" xfId="0" applyNumberFormat="1" applyFont="1" applyBorder="1" applyAlignment="1">
      <alignment horizontal="left" vertical="center" wrapText="1"/>
    </xf>
    <xf numFmtId="49" fontId="20" fillId="0" borderId="0" xfId="0" applyNumberFormat="1" applyFont="1" applyAlignment="1">
      <alignment horizontal="center" vertical="center" wrapText="1"/>
    </xf>
    <xf numFmtId="0" fontId="20" fillId="0" borderId="0" xfId="0" applyNumberFormat="1" applyFont="1" applyAlignment="1">
      <alignment horizontal="center" vertical="center" wrapText="1"/>
    </xf>
    <xf numFmtId="4" fontId="2" fillId="0" borderId="8" xfId="0" applyNumberFormat="1" applyFont="1" applyBorder="1" applyAlignment="1">
      <alignment horizontal="center" vertical="center" wrapText="1"/>
    </xf>
    <xf numFmtId="4" fontId="2" fillId="0" borderId="23" xfId="0" applyNumberFormat="1" applyFont="1" applyBorder="1" applyAlignment="1">
      <alignment horizontal="center" vertical="center" wrapText="1"/>
    </xf>
    <xf numFmtId="49" fontId="26" fillId="0" borderId="28" xfId="0" applyNumberFormat="1" applyFont="1" applyBorder="1" applyAlignment="1">
      <alignment horizontal="left" vertical="center" wrapText="1"/>
    </xf>
    <xf numFmtId="49" fontId="26" fillId="0" borderId="18" xfId="0" applyNumberFormat="1" applyFont="1" applyBorder="1" applyAlignment="1">
      <alignment horizontal="left" vertical="center" wrapText="1"/>
    </xf>
    <xf numFmtId="0" fontId="2" fillId="0" borderId="27" xfId="0" applyNumberFormat="1" applyFont="1" applyBorder="1" applyAlignment="1">
      <alignment vertical="center" wrapText="1"/>
    </xf>
    <xf numFmtId="0" fontId="2" fillId="0" borderId="23" xfId="0" applyNumberFormat="1" applyFont="1" applyBorder="1" applyAlignment="1">
      <alignment horizontal="left" vertical="center" wrapText="1"/>
    </xf>
    <xf numFmtId="49" fontId="19" fillId="0" borderId="0" xfId="0" applyNumberFormat="1" applyFont="1" applyAlignment="1">
      <alignment horizontal="center" vertical="center" wrapText="1"/>
    </xf>
    <xf numFmtId="0" fontId="2" fillId="0" borderId="0" xfId="0" applyNumberFormat="1" applyFont="1" applyAlignment="1">
      <alignment vertical="top" wrapText="1"/>
    </xf>
    <xf numFmtId="0" fontId="2" fillId="0" borderId="0" xfId="0" applyNumberFormat="1" applyFont="1">
      <alignment vertical="top"/>
    </xf>
    <xf numFmtId="4" fontId="2" fillId="0" borderId="31" xfId="0" applyNumberFormat="1" applyFont="1" applyBorder="1" applyAlignment="1">
      <alignment horizontal="center" vertical="center" wrapText="1"/>
    </xf>
    <xf numFmtId="0" fontId="20" fillId="0" borderId="0" xfId="0" applyNumberFormat="1" applyFont="1" applyAlignment="1">
      <alignment horizontal="center" vertical="top"/>
    </xf>
    <xf numFmtId="49" fontId="20" fillId="0" borderId="0" xfId="0" applyNumberFormat="1" applyFont="1">
      <alignment vertical="top"/>
    </xf>
    <xf numFmtId="0" fontId="20" fillId="0" borderId="14" xfId="0" applyNumberFormat="1" applyFont="1" applyBorder="1" applyAlignment="1">
      <alignment vertical="center" wrapText="1"/>
    </xf>
    <xf numFmtId="4" fontId="20" fillId="0" borderId="3" xfId="0" applyNumberFormat="1" applyFont="1" applyBorder="1" applyAlignment="1">
      <alignment horizontal="right" vertical="center" wrapText="1"/>
    </xf>
    <xf numFmtId="2" fontId="20" fillId="0" borderId="14" xfId="0" applyNumberFormat="1" applyFont="1" applyBorder="1" applyAlignment="1">
      <alignment horizontal="center" vertical="center" wrapText="1"/>
    </xf>
    <xf numFmtId="0" fontId="20" fillId="0" borderId="3" xfId="0" applyNumberFormat="1" applyFont="1" applyBorder="1" applyAlignment="1">
      <alignment horizontal="left" vertical="center" wrapText="1"/>
    </xf>
    <xf numFmtId="49" fontId="20" fillId="0" borderId="5" xfId="0" applyNumberFormat="1" applyFont="1" applyBorder="1" applyAlignment="1">
      <alignment horizontal="left" vertical="center"/>
    </xf>
    <xf numFmtId="49" fontId="20" fillId="0" borderId="6" xfId="0" applyNumberFormat="1" applyFont="1" applyBorder="1" applyAlignment="1">
      <alignment horizontal="left" vertical="center" indent="1"/>
    </xf>
    <xf numFmtId="49" fontId="20" fillId="0" borderId="6" xfId="0" applyNumberFormat="1" applyFont="1" applyBorder="1" applyAlignment="1">
      <alignment horizontal="left" vertical="center"/>
    </xf>
    <xf numFmtId="0" fontId="20" fillId="0" borderId="3" xfId="0" applyNumberFormat="1" applyFont="1" applyBorder="1" applyAlignment="1">
      <alignment horizontal="left" vertical="center" indent="1"/>
    </xf>
    <xf numFmtId="49" fontId="12" fillId="0" borderId="10" xfId="0" applyNumberFormat="1" applyFont="1" applyBorder="1" applyAlignment="1">
      <alignment horizontal="right" vertical="center"/>
    </xf>
    <xf numFmtId="0" fontId="2" fillId="11" borderId="3" xfId="0" applyNumberFormat="1" applyFont="1" applyFill="1" applyBorder="1" applyAlignment="1">
      <alignment horizontal="left" vertical="center" wrapText="1" indent="1"/>
    </xf>
    <xf numFmtId="0" fontId="2" fillId="0" borderId="3" xfId="0" applyNumberFormat="1" applyFont="1" applyBorder="1" applyAlignment="1">
      <alignment horizontal="center" vertical="center" wrapText="1"/>
    </xf>
    <xf numFmtId="0" fontId="20" fillId="0" borderId="0" xfId="0" applyNumberFormat="1" applyFont="1" applyAlignment="1">
      <alignment horizontal="center" vertical="center" wrapText="1"/>
    </xf>
    <xf numFmtId="49" fontId="19" fillId="0" borderId="0" xfId="0" applyNumberFormat="1" applyFont="1" applyAlignment="1">
      <alignment horizontal="center" vertical="center" wrapText="1"/>
    </xf>
    <xf numFmtId="49" fontId="20" fillId="0" borderId="0" xfId="0" applyNumberFormat="1" applyFont="1" applyAlignment="1">
      <alignment horizontal="center" vertical="center" wrapText="1"/>
    </xf>
    <xf numFmtId="0" fontId="34" fillId="6" borderId="0" xfId="0" applyNumberFormat="1" applyFont="1" applyFill="1" applyAlignment="1">
      <alignment horizontal="left" vertical="center" wrapText="1" indent="1"/>
    </xf>
    <xf numFmtId="0" fontId="2" fillId="0" borderId="0" xfId="0" applyNumberFormat="1" applyFont="1" applyAlignment="1">
      <alignment horizontal="left" vertical="center" wrapText="1" indent="1"/>
    </xf>
    <xf numFmtId="49" fontId="26" fillId="7" borderId="4" xfId="0" applyNumberFormat="1" applyFont="1" applyFill="1" applyBorder="1" applyAlignment="1" applyProtection="1">
      <alignment horizontal="left" vertical="center" wrapText="1"/>
      <protection locked="0"/>
    </xf>
    <xf numFmtId="49" fontId="2" fillId="0" borderId="0" xfId="0" applyNumberFormat="1" applyFont="1" applyAlignment="1">
      <alignment horizontal="center" vertical="center" wrapText="1"/>
    </xf>
    <xf numFmtId="0" fontId="2" fillId="0" borderId="10" xfId="0" applyNumberFormat="1" applyFont="1" applyBorder="1" applyAlignment="1">
      <alignment vertical="center" wrapText="1"/>
    </xf>
    <xf numFmtId="0" fontId="2" fillId="0" borderId="19" xfId="0" applyNumberFormat="1" applyFont="1" applyBorder="1" applyAlignment="1">
      <alignment vertical="center" wrapText="1"/>
    </xf>
    <xf numFmtId="49" fontId="2" fillId="8" borderId="32" xfId="0" applyNumberFormat="1" applyFont="1" applyFill="1" applyBorder="1" applyAlignment="1">
      <alignment horizontal="center" vertical="center" wrapText="1"/>
    </xf>
    <xf numFmtId="49" fontId="22" fillId="8" borderId="33" xfId="0" applyNumberFormat="1" applyFont="1" applyFill="1" applyBorder="1" applyAlignment="1">
      <alignment horizontal="right" vertical="center" wrapText="1"/>
    </xf>
    <xf numFmtId="49" fontId="22" fillId="8" borderId="34" xfId="0" applyNumberFormat="1" applyFont="1" applyFill="1" applyBorder="1" applyAlignment="1">
      <alignment horizontal="right" vertical="center" wrapText="1"/>
    </xf>
    <xf numFmtId="49" fontId="17" fillId="0" borderId="0" xfId="0" applyNumberFormat="1" applyFont="1">
      <alignment vertical="top"/>
    </xf>
    <xf numFmtId="49" fontId="17" fillId="0" borderId="0" xfId="0" applyNumberFormat="1" applyFont="1" applyAlignment="1">
      <alignment vertical="center" wrapText="1"/>
    </xf>
    <xf numFmtId="0" fontId="17" fillId="0" borderId="0" xfId="0" applyNumberFormat="1" applyFont="1" applyAlignment="1">
      <alignment vertical="center" wrapText="1"/>
    </xf>
    <xf numFmtId="49" fontId="68" fillId="0" borderId="0" xfId="0" applyNumberFormat="1" applyFont="1" applyAlignment="1">
      <alignment vertical="center" wrapText="1"/>
    </xf>
    <xf numFmtId="49" fontId="3" fillId="18" borderId="0" xfId="0" applyNumberFormat="1" applyFont="1" applyFill="1" applyAlignment="1">
      <alignment horizontal="center" vertical="center"/>
    </xf>
    <xf numFmtId="0" fontId="0" fillId="19" borderId="0" xfId="0" applyNumberFormat="1" applyFont="1" applyFill="1" applyAlignment="1">
      <alignment horizontal="left" vertical="center"/>
    </xf>
    <xf numFmtId="0" fontId="0" fillId="20" borderId="3" xfId="0" applyNumberFormat="1" applyFont="1" applyFill="1" applyBorder="1" applyAlignment="1">
      <alignment horizontal="center" vertical="center"/>
    </xf>
    <xf numFmtId="49" fontId="0" fillId="0" borderId="0" xfId="0" applyNumberFormat="1" applyFont="1" applyAlignment="1">
      <alignment vertical="center"/>
    </xf>
    <xf numFmtId="49" fontId="19" fillId="18" borderId="3" xfId="0" applyNumberFormat="1" applyFont="1" applyFill="1" applyBorder="1" applyAlignment="1">
      <alignment horizontal="center" vertical="center"/>
    </xf>
    <xf numFmtId="49" fontId="19" fillId="21" borderId="3" xfId="0" applyNumberFormat="1" applyFont="1" applyFill="1" applyBorder="1" applyAlignment="1">
      <alignment horizontal="center" vertical="center"/>
    </xf>
    <xf numFmtId="49" fontId="0" fillId="22" borderId="3" xfId="0" applyNumberFormat="1" applyFont="1" applyFill="1" applyBorder="1" applyAlignment="1">
      <alignment horizontal="center" vertical="center"/>
    </xf>
    <xf numFmtId="49" fontId="2" fillId="0" borderId="0" xfId="0" applyNumberFormat="1" applyFont="1">
      <alignment vertical="top"/>
    </xf>
    <xf numFmtId="0" fontId="2" fillId="0" borderId="3" xfId="0" applyNumberFormat="1" applyFont="1" applyBorder="1" applyAlignment="1">
      <alignment vertical="center"/>
    </xf>
    <xf numFmtId="0" fontId="0" fillId="0" borderId="3" xfId="0" applyNumberFormat="1" applyFont="1" applyBorder="1" applyAlignment="1">
      <alignment vertical="center"/>
    </xf>
    <xf numFmtId="0" fontId="0" fillId="0" borderId="3" xfId="0" applyNumberFormat="1" applyFont="1" applyBorder="1" applyAlignment="1">
      <alignment vertical="center"/>
    </xf>
    <xf numFmtId="0" fontId="0" fillId="0" borderId="5" xfId="0" applyNumberFormat="1" applyFont="1" applyBorder="1" applyAlignment="1">
      <alignment vertical="center"/>
    </xf>
    <xf numFmtId="0" fontId="0" fillId="0" borderId="5" xfId="0" applyNumberFormat="1" applyFont="1" applyBorder="1" applyAlignment="1">
      <alignment vertical="center"/>
    </xf>
    <xf numFmtId="49" fontId="2" fillId="0" borderId="35" xfId="0" applyNumberFormat="1" applyFont="1" applyBorder="1" applyAlignment="1">
      <alignment vertical="center"/>
    </xf>
    <xf numFmtId="49" fontId="2" fillId="0" borderId="36" xfId="0" applyNumberFormat="1" applyFont="1" applyBorder="1">
      <alignment vertical="top"/>
    </xf>
    <xf numFmtId="0" fontId="0" fillId="0" borderId="4" xfId="0" applyNumberFormat="1" applyFont="1" applyBorder="1" applyAlignment="1">
      <alignment vertical="center"/>
    </xf>
    <xf numFmtId="0" fontId="0" fillId="0" borderId="3" xfId="0" applyNumberFormat="1" applyFont="1" applyBorder="1" applyAlignment="1">
      <alignment horizontal="right" vertical="top"/>
    </xf>
    <xf numFmtId="0" fontId="0" fillId="0" borderId="3" xfId="0" applyNumberFormat="1" applyFont="1" applyBorder="1">
      <alignment vertical="top"/>
    </xf>
    <xf numFmtId="0" fontId="2" fillId="0" borderId="4" xfId="0" applyNumberFormat="1" applyFont="1" applyBorder="1" applyAlignment="1">
      <alignment vertical="center"/>
    </xf>
    <xf numFmtId="49" fontId="2" fillId="0" borderId="3" xfId="0" applyNumberFormat="1" applyFont="1" applyBorder="1" applyAlignment="1">
      <alignment vertical="center"/>
    </xf>
    <xf numFmtId="0" fontId="0" fillId="0" borderId="0" xfId="0" applyNumberFormat="1" applyFont="1">
      <alignment vertical="top"/>
    </xf>
    <xf numFmtId="0" fontId="2" fillId="0" borderId="3" xfId="0" applyNumberFormat="1" applyFont="1" applyBorder="1">
      <alignment vertical="top"/>
    </xf>
    <xf numFmtId="49" fontId="2" fillId="0" borderId="3" xfId="0" applyNumberFormat="1" applyFont="1" applyBorder="1">
      <alignment vertical="top"/>
    </xf>
    <xf numFmtId="0" fontId="2" fillId="0" borderId="0" xfId="0" applyNumberFormat="1" applyFont="1" applyAlignment="1">
      <alignment vertical="center"/>
    </xf>
    <xf numFmtId="49" fontId="2" fillId="0" borderId="5" xfId="0" applyNumberFormat="1" applyFont="1" applyBorder="1">
      <alignment vertical="top"/>
    </xf>
    <xf numFmtId="0" fontId="0" fillId="0" borderId="0" xfId="0" applyNumberFormat="1" applyFont="1" applyAlignment="1">
      <alignment vertical="center"/>
    </xf>
    <xf numFmtId="0" fontId="2" fillId="0" borderId="0" xfId="0" applyNumberFormat="1" applyFont="1">
      <alignment vertical="top"/>
    </xf>
    <xf numFmtId="49" fontId="2" fillId="0" borderId="3" xfId="0" applyNumberFormat="1" applyFont="1" applyBorder="1">
      <alignment vertical="top"/>
    </xf>
    <xf numFmtId="49" fontId="0" fillId="0" borderId="5" xfId="0" applyNumberFormat="1" applyFont="1" applyBorder="1">
      <alignment vertical="top"/>
    </xf>
    <xf numFmtId="0" fontId="0" fillId="0" borderId="8" xfId="0" applyNumberFormat="1" applyFont="1" applyBorder="1">
      <alignment vertical="top"/>
    </xf>
    <xf numFmtId="0" fontId="2" fillId="0" borderId="8" xfId="0" applyNumberFormat="1" applyFont="1" applyBorder="1" applyAlignment="1">
      <alignment vertical="center"/>
    </xf>
    <xf numFmtId="49" fontId="2" fillId="0" borderId="22" xfId="0" applyNumberFormat="1" applyFont="1" applyBorder="1" applyAlignment="1">
      <alignment horizontal="center" vertical="center"/>
    </xf>
    <xf numFmtId="49" fontId="2" fillId="0" borderId="0" xfId="0" applyNumberFormat="1" applyFont="1">
      <alignment vertical="top"/>
    </xf>
    <xf numFmtId="49" fontId="0" fillId="7" borderId="22" xfId="0" applyNumberFormat="1" applyFont="1" applyFill="1" applyBorder="1" applyAlignment="1" applyProtection="1">
      <alignment horizontal="left" vertical="center"/>
      <protection locked="0"/>
    </xf>
    <xf numFmtId="49" fontId="0" fillId="0" borderId="3" xfId="0" applyNumberFormat="1" applyFont="1" applyBorder="1" applyAlignment="1">
      <alignment horizontal="center" vertical="center"/>
    </xf>
    <xf numFmtId="49" fontId="0" fillId="0" borderId="22" xfId="0" applyNumberFormat="1" applyFont="1" applyBorder="1" applyAlignment="1">
      <alignment horizontal="right" vertical="center"/>
    </xf>
    <xf numFmtId="0" fontId="0" fillId="5" borderId="22" xfId="0" applyNumberFormat="1" applyFont="1" applyFill="1" applyBorder="1" applyAlignment="1">
      <alignment horizontal="center" vertical="center"/>
    </xf>
    <xf numFmtId="49" fontId="0" fillId="0" borderId="22" xfId="0" applyNumberFormat="1" applyFont="1" applyBorder="1" applyAlignment="1">
      <alignment horizontal="center" vertical="center"/>
    </xf>
    <xf numFmtId="49" fontId="0" fillId="0" borderId="0" xfId="0" applyNumberFormat="1" applyFont="1" applyAlignment="1">
      <alignment horizontal="left" vertical="center"/>
    </xf>
    <xf numFmtId="0" fontId="0" fillId="0" borderId="0" xfId="0" applyNumberFormat="1" applyFont="1" applyAlignment="1">
      <alignment horizontal="center" vertical="center"/>
    </xf>
    <xf numFmtId="0" fontId="76" fillId="0" borderId="37" xfId="0" applyNumberFormat="1" applyFont="1" applyBorder="1" applyAlignment="1">
      <alignment horizontal="center" vertical="center"/>
    </xf>
    <xf numFmtId="0" fontId="0" fillId="0" borderId="37" xfId="0" applyNumberFormat="1" applyFont="1" applyBorder="1" applyAlignment="1">
      <alignment horizontal="center" vertical="center"/>
    </xf>
    <xf numFmtId="49" fontId="3" fillId="18" borderId="3" xfId="0" applyNumberFormat="1" applyFont="1" applyFill="1" applyBorder="1" applyAlignment="1">
      <alignment horizontal="right" vertical="center"/>
    </xf>
    <xf numFmtId="49" fontId="2" fillId="7" borderId="28" xfId="0" applyNumberFormat="1" applyFont="1" applyFill="1" applyBorder="1" applyProtection="1">
      <alignment vertical="top"/>
      <protection locked="0"/>
    </xf>
    <xf numFmtId="0" fontId="2" fillId="0" borderId="3" xfId="0" applyNumberFormat="1" applyFont="1" applyBorder="1">
      <alignment vertical="top"/>
    </xf>
    <xf numFmtId="49" fontId="2" fillId="12" borderId="14" xfId="0" applyNumberFormat="1" applyFont="1" applyFill="1" applyBorder="1">
      <alignment vertical="top"/>
    </xf>
    <xf numFmtId="49" fontId="2" fillId="12" borderId="3" xfId="0" applyNumberFormat="1" applyFont="1" applyFill="1" applyBorder="1">
      <alignment vertical="top"/>
    </xf>
    <xf numFmtId="0" fontId="0" fillId="0" borderId="23" xfId="0" applyNumberFormat="1" applyFont="1" applyBorder="1" applyAlignment="1">
      <alignment horizontal="center" vertical="center"/>
    </xf>
    <xf numFmtId="0" fontId="0" fillId="0" borderId="22" xfId="0" applyNumberFormat="1" applyFont="1" applyBorder="1" applyAlignment="1">
      <alignment horizontal="center" vertical="center"/>
    </xf>
    <xf numFmtId="49" fontId="0" fillId="0" borderId="0" xfId="0" applyNumberFormat="1" applyFont="1" applyAlignment="1">
      <alignment vertical="center"/>
    </xf>
    <xf numFmtId="49" fontId="3" fillId="18" borderId="5" xfId="0" applyNumberFormat="1" applyFont="1" applyFill="1" applyBorder="1" applyAlignment="1">
      <alignment horizontal="right" vertical="center"/>
    </xf>
    <xf numFmtId="0" fontId="0" fillId="19" borderId="0" xfId="0" applyNumberFormat="1" applyFont="1" applyFill="1" applyAlignment="1">
      <alignment horizontal="right" vertical="center"/>
    </xf>
    <xf numFmtId="0" fontId="77" fillId="0" borderId="38" xfId="0" applyNumberFormat="1" applyFont="1" applyBorder="1" applyAlignment="1">
      <alignment horizontal="left" vertical="center" indent="1"/>
    </xf>
    <xf numFmtId="0" fontId="77" fillId="0" borderId="39" xfId="0" applyNumberFormat="1" applyFont="1" applyBorder="1" applyAlignment="1">
      <alignment horizontal="left" vertical="center" indent="1"/>
    </xf>
    <xf numFmtId="0" fontId="77" fillId="0" borderId="40" xfId="0" applyNumberFormat="1" applyFont="1" applyBorder="1" applyAlignment="1">
      <alignment horizontal="left" vertical="center" indent="1"/>
    </xf>
    <xf numFmtId="0" fontId="2" fillId="6" borderId="0" xfId="0" applyNumberFormat="1" applyFont="1" applyFill="1" applyAlignment="1">
      <alignment vertical="center" wrapText="1"/>
    </xf>
    <xf numFmtId="0" fontId="3" fillId="0" borderId="0" xfId="0" applyNumberFormat="1" applyFont="1" applyAlignment="1">
      <alignment vertical="center" wrapText="1"/>
    </xf>
    <xf numFmtId="49" fontId="2" fillId="0" borderId="0" xfId="0" applyNumberFormat="1" applyFont="1">
      <alignment vertical="top"/>
    </xf>
    <xf numFmtId="0" fontId="19" fillId="0" borderId="0" xfId="0" applyNumberFormat="1" applyFont="1" applyAlignment="1">
      <alignment vertical="center" wrapText="1"/>
    </xf>
    <xf numFmtId="49" fontId="72" fillId="0" borderId="0" xfId="0" applyNumberFormat="1" applyFont="1" applyAlignment="1">
      <alignment horizontal="center" vertical="center" wrapText="1"/>
    </xf>
    <xf numFmtId="0" fontId="2" fillId="6" borderId="0" xfId="0" applyNumberFormat="1" applyFont="1" applyFill="1" applyAlignment="1">
      <alignment vertical="center" wrapText="1"/>
    </xf>
    <xf numFmtId="0" fontId="2" fillId="0" borderId="0" xfId="0" applyNumberFormat="1" applyFont="1" applyAlignment="1">
      <alignment vertical="center" wrapText="1"/>
    </xf>
    <xf numFmtId="0" fontId="22" fillId="6" borderId="30" xfId="0" applyNumberFormat="1" applyFont="1" applyFill="1" applyBorder="1" applyAlignment="1">
      <alignment horizontal="center" wrapText="1"/>
    </xf>
    <xf numFmtId="49" fontId="43" fillId="0" borderId="30" xfId="0" applyNumberFormat="1" applyFont="1" applyBorder="1">
      <alignment vertical="top"/>
    </xf>
    <xf numFmtId="0" fontId="0" fillId="0" borderId="3" xfId="0" applyNumberFormat="1" applyFont="1" applyBorder="1" applyAlignment="1">
      <alignment horizontal="center" vertical="center" wrapText="1"/>
    </xf>
    <xf numFmtId="0" fontId="2" fillId="0" borderId="0" xfId="0" applyNumberFormat="1" applyFont="1" applyAlignment="1">
      <alignment horizontal="left" vertical="center" wrapText="1" indent="3"/>
    </xf>
    <xf numFmtId="0" fontId="2" fillId="0" borderId="0" xfId="0" applyNumberFormat="1" applyFont="1" applyAlignment="1">
      <alignment horizontal="left" vertical="center" wrapText="1" indent="3"/>
    </xf>
    <xf numFmtId="0" fontId="3" fillId="0" borderId="0" xfId="0" applyNumberFormat="1" applyFont="1" applyAlignment="1">
      <alignment vertical="center" wrapText="1"/>
    </xf>
    <xf numFmtId="49" fontId="2" fillId="0" borderId="0" xfId="0" applyNumberFormat="1" applyFont="1">
      <alignment vertical="top"/>
    </xf>
    <xf numFmtId="0" fontId="19" fillId="0" borderId="0" xfId="0" applyNumberFormat="1" applyFont="1" applyAlignment="1">
      <alignment vertical="center" wrapText="1"/>
    </xf>
    <xf numFmtId="0" fontId="2" fillId="0" borderId="3" xfId="0" applyNumberFormat="1" applyFont="1" applyBorder="1" applyAlignment="1">
      <alignment horizontal="center" vertical="center" wrapText="1"/>
    </xf>
    <xf numFmtId="0" fontId="2" fillId="0" borderId="0" xfId="0" applyNumberFormat="1" applyFont="1" applyAlignment="1">
      <alignment vertical="center" wrapText="1"/>
    </xf>
    <xf numFmtId="0" fontId="2" fillId="6" borderId="30" xfId="0" applyNumberFormat="1" applyFont="1" applyFill="1" applyBorder="1" applyAlignment="1">
      <alignment vertical="center" wrapText="1"/>
    </xf>
    <xf numFmtId="0" fontId="3" fillId="0" borderId="0" xfId="0" applyNumberFormat="1" applyFont="1" applyAlignment="1">
      <alignment vertical="center" wrapText="1"/>
    </xf>
    <xf numFmtId="49" fontId="2" fillId="0" borderId="0" xfId="0" applyNumberFormat="1" applyFont="1">
      <alignment vertical="top"/>
    </xf>
    <xf numFmtId="0" fontId="19" fillId="0" borderId="0" xfId="0" applyNumberFormat="1" applyFont="1" applyAlignment="1">
      <alignment vertical="center" wrapText="1"/>
    </xf>
    <xf numFmtId="0" fontId="2" fillId="0" borderId="0" xfId="0" applyNumberFormat="1" applyFont="1" applyAlignment="1">
      <alignment vertical="center" wrapText="1"/>
    </xf>
    <xf numFmtId="0" fontId="2" fillId="0" borderId="0" xfId="0" applyNumberFormat="1" applyFont="1" applyAlignment="1">
      <alignment vertical="center" wrapText="1"/>
    </xf>
    <xf numFmtId="0" fontId="2" fillId="6" borderId="30" xfId="0" applyNumberFormat="1" applyFont="1" applyFill="1" applyBorder="1" applyAlignment="1">
      <alignment vertical="center" wrapText="1"/>
    </xf>
    <xf numFmtId="0" fontId="2" fillId="10" borderId="3" xfId="0" applyNumberFormat="1" applyFont="1" applyFill="1" applyBorder="1" applyAlignment="1" applyProtection="1">
      <alignment horizontal="left" vertical="center" wrapText="1" indent="1"/>
      <protection locked="0"/>
    </xf>
    <xf numFmtId="49" fontId="19" fillId="18" borderId="0" xfId="0" applyNumberFormat="1" applyFont="1" applyFill="1" applyAlignment="1">
      <alignment horizontal="center" vertical="center" wrapText="1"/>
    </xf>
    <xf numFmtId="0" fontId="2" fillId="0" borderId="3" xfId="0" applyNumberFormat="1" applyFont="1" applyBorder="1" applyAlignment="1">
      <alignment horizontal="center" vertical="center" wrapText="1"/>
    </xf>
    <xf numFmtId="0" fontId="2" fillId="0" borderId="3" xfId="0" applyNumberFormat="1" applyFont="1" applyBorder="1" applyAlignment="1">
      <alignment horizontal="center" vertical="center" wrapText="1"/>
    </xf>
    <xf numFmtId="0" fontId="2" fillId="0" borderId="0" xfId="0" applyNumberFormat="1" applyFont="1" applyAlignment="1">
      <alignment vertical="center" wrapText="1"/>
    </xf>
    <xf numFmtId="0" fontId="3" fillId="0" borderId="0" xfId="0" applyNumberFormat="1" applyFont="1" applyAlignment="1">
      <alignment vertical="center" wrapText="1"/>
    </xf>
    <xf numFmtId="49" fontId="2" fillId="0" borderId="0" xfId="0" applyNumberFormat="1" applyFont="1">
      <alignment vertical="top"/>
    </xf>
    <xf numFmtId="49" fontId="78" fillId="0" borderId="7" xfId="0" applyNumberFormat="1" applyFont="1" applyBorder="1">
      <alignment vertical="top"/>
    </xf>
    <xf numFmtId="0" fontId="0" fillId="0" borderId="0" xfId="0" applyNumberFormat="1" applyFont="1">
      <alignment vertical="top"/>
    </xf>
    <xf numFmtId="0" fontId="19" fillId="0" borderId="0" xfId="0" applyNumberFormat="1" applyFont="1" applyAlignment="1">
      <alignment vertical="center" wrapText="1"/>
    </xf>
    <xf numFmtId="49" fontId="26" fillId="10" borderId="3" xfId="0" applyNumberFormat="1" applyFont="1" applyFill="1" applyBorder="1" applyAlignment="1" applyProtection="1">
      <alignment horizontal="left" vertical="center" wrapText="1"/>
      <protection locked="0"/>
    </xf>
    <xf numFmtId="0" fontId="2" fillId="0" borderId="5" xfId="0" applyNumberFormat="1" applyFont="1" applyBorder="1" applyAlignment="1">
      <alignment horizontal="left" vertical="center"/>
    </xf>
    <xf numFmtId="0" fontId="0" fillId="0" borderId="5" xfId="0" applyNumberFormat="1" applyFont="1" applyBorder="1" applyAlignment="1">
      <alignment horizontal="left" vertical="center"/>
    </xf>
    <xf numFmtId="49" fontId="26" fillId="10" borderId="3" xfId="0" applyNumberFormat="1" applyFont="1" applyFill="1" applyBorder="1" applyAlignment="1" applyProtection="1">
      <alignment horizontal="left" vertical="center" wrapText="1"/>
      <protection locked="0"/>
    </xf>
    <xf numFmtId="0" fontId="2" fillId="6" borderId="17" xfId="0" applyNumberFormat="1" applyFont="1" applyFill="1" applyBorder="1" applyAlignment="1">
      <alignment horizontal="right" vertical="center" wrapText="1" indent="1"/>
    </xf>
    <xf numFmtId="49" fontId="19" fillId="0" borderId="0" xfId="0" applyNumberFormat="1" applyFont="1" applyAlignment="1">
      <alignment horizontal="center" vertical="center" wrapText="1"/>
    </xf>
    <xf numFmtId="49" fontId="20" fillId="0" borderId="0" xfId="0" applyNumberFormat="1" applyFont="1" applyAlignment="1">
      <alignment horizontal="center" vertical="center" wrapText="1"/>
    </xf>
    <xf numFmtId="49" fontId="12" fillId="8" borderId="6" xfId="0" applyNumberFormat="1" applyFont="1" applyFill="1" applyBorder="1" applyAlignment="1">
      <alignment horizontal="left" vertical="center" indent="1"/>
    </xf>
    <xf numFmtId="4" fontId="2" fillId="10" borderId="22" xfId="0" applyNumberFormat="1" applyFont="1" applyFill="1" applyBorder="1" applyAlignment="1" applyProtection="1">
      <alignment horizontal="right" vertical="center" wrapText="1"/>
      <protection locked="0"/>
    </xf>
    <xf numFmtId="0" fontId="2" fillId="6" borderId="0" xfId="0" applyNumberFormat="1" applyFont="1" applyFill="1" applyAlignment="1">
      <alignment vertical="center" wrapText="1"/>
    </xf>
    <xf numFmtId="0" fontId="2" fillId="0" borderId="29" xfId="0" applyNumberFormat="1" applyFont="1" applyBorder="1" applyAlignment="1">
      <alignment vertical="center" wrapText="1"/>
    </xf>
    <xf numFmtId="0" fontId="2" fillId="0" borderId="0" xfId="0" applyNumberFormat="1" applyFont="1" applyAlignment="1">
      <alignment vertical="center"/>
    </xf>
    <xf numFmtId="0" fontId="2" fillId="0" borderId="0" xfId="0" applyNumberFormat="1" applyFont="1" applyAlignment="1">
      <alignment vertical="center" wrapText="1"/>
    </xf>
    <xf numFmtId="0" fontId="2" fillId="8" borderId="41" xfId="0" applyNumberFormat="1" applyFont="1" applyFill="1" applyBorder="1" applyAlignment="1">
      <alignment vertical="center" wrapText="1"/>
    </xf>
    <xf numFmtId="0" fontId="2" fillId="8" borderId="42" xfId="0" applyNumberFormat="1" applyFont="1" applyFill="1" applyBorder="1" applyAlignment="1">
      <alignment vertical="center" wrapText="1"/>
    </xf>
    <xf numFmtId="49" fontId="79" fillId="8" borderId="5" xfId="0" applyNumberFormat="1" applyFont="1" applyFill="1" applyBorder="1" applyAlignment="1">
      <alignment horizontal="left" vertical="center" indent="1"/>
    </xf>
    <xf numFmtId="49" fontId="79" fillId="8" borderId="6" xfId="0" applyNumberFormat="1" applyFont="1" applyFill="1" applyBorder="1" applyAlignment="1">
      <alignment horizontal="left" vertical="center" indent="1"/>
    </xf>
    <xf numFmtId="49" fontId="68" fillId="8" borderId="34" xfId="0" applyNumberFormat="1" applyFont="1" applyFill="1" applyBorder="1" applyAlignment="1">
      <alignment horizontal="center" vertical="center"/>
    </xf>
    <xf numFmtId="49" fontId="79" fillId="8" borderId="34" xfId="0" applyNumberFormat="1" applyFont="1" applyFill="1" applyBorder="1" applyAlignment="1">
      <alignment horizontal="left" vertical="center" indent="1"/>
    </xf>
    <xf numFmtId="0" fontId="17" fillId="11" borderId="3" xfId="0" applyNumberFormat="1" applyFont="1" applyFill="1" applyBorder="1" applyAlignment="1">
      <alignment horizontal="left" vertical="center" wrapText="1" indent="1"/>
    </xf>
    <xf numFmtId="49" fontId="17" fillId="8" borderId="6" xfId="0" applyNumberFormat="1" applyFont="1" applyFill="1" applyBorder="1" applyAlignment="1">
      <alignment vertical="top" wrapText="1"/>
    </xf>
    <xf numFmtId="49" fontId="17" fillId="8" borderId="4" xfId="0" applyNumberFormat="1" applyFont="1" applyFill="1" applyBorder="1" applyAlignment="1">
      <alignment vertical="top" wrapText="1"/>
    </xf>
    <xf numFmtId="49" fontId="17" fillId="8" borderId="43" xfId="0" applyNumberFormat="1" applyFont="1" applyFill="1" applyBorder="1" applyAlignment="1">
      <alignment vertical="top" wrapText="1"/>
    </xf>
    <xf numFmtId="49" fontId="79" fillId="8" borderId="43" xfId="0" applyNumberFormat="1" applyFont="1" applyFill="1" applyBorder="1" applyAlignment="1">
      <alignment horizontal="left" vertical="center" indent="1"/>
    </xf>
    <xf numFmtId="0" fontId="2" fillId="8" borderId="44" xfId="0" applyNumberFormat="1" applyFont="1" applyFill="1" applyBorder="1" applyAlignment="1">
      <alignment vertical="center" wrapText="1"/>
    </xf>
    <xf numFmtId="0" fontId="2" fillId="6" borderId="30" xfId="0" applyNumberFormat="1" applyFont="1" applyFill="1" applyBorder="1" applyAlignment="1">
      <alignment vertical="center" wrapText="1"/>
    </xf>
    <xf numFmtId="0" fontId="0" fillId="0" borderId="40" xfId="0" applyNumberFormat="1" applyFont="1" applyBorder="1" applyAlignment="1">
      <alignment horizontal="left" vertical="center" wrapText="1"/>
    </xf>
    <xf numFmtId="0" fontId="2" fillId="0" borderId="40" xfId="0" applyNumberFormat="1" applyFont="1" applyBorder="1" applyAlignment="1">
      <alignment vertical="center" wrapText="1"/>
    </xf>
    <xf numFmtId="0" fontId="2" fillId="0" borderId="45" xfId="0" applyNumberFormat="1" applyFont="1" applyBorder="1" applyAlignment="1">
      <alignment vertical="center" wrapText="1"/>
    </xf>
    <xf numFmtId="0" fontId="2" fillId="0" borderId="46" xfId="0" applyNumberFormat="1" applyFont="1" applyBorder="1" applyAlignment="1">
      <alignment vertical="center" wrapText="1"/>
    </xf>
    <xf numFmtId="0" fontId="2" fillId="11" borderId="3" xfId="0" applyNumberFormat="1" applyFont="1" applyFill="1" applyBorder="1" applyAlignment="1">
      <alignment horizontal="left" vertical="center" wrapText="1" indent="1"/>
    </xf>
    <xf numFmtId="0" fontId="0" fillId="8" borderId="41" xfId="0" applyNumberFormat="1" applyFont="1" applyFill="1" applyBorder="1" applyAlignment="1">
      <alignment horizontal="left" vertical="center"/>
    </xf>
    <xf numFmtId="0" fontId="2" fillId="6" borderId="3" xfId="0" applyNumberFormat="1" applyFont="1" applyFill="1" applyBorder="1" applyAlignment="1">
      <alignment horizontal="center" vertical="center" wrapText="1"/>
    </xf>
    <xf numFmtId="49" fontId="7" fillId="0" borderId="3" xfId="0" applyNumberFormat="1" applyFont="1" applyBorder="1" applyAlignment="1">
      <alignment horizontal="center" vertical="center"/>
    </xf>
    <xf numFmtId="49" fontId="7" fillId="12" borderId="3" xfId="0" applyNumberFormat="1" applyFont="1" applyFill="1" applyBorder="1" applyAlignment="1">
      <alignment horizontal="center" vertical="center"/>
    </xf>
    <xf numFmtId="0" fontId="7" fillId="0" borderId="3" xfId="0" applyNumberFormat="1" applyFont="1" applyBorder="1" applyAlignment="1">
      <alignment horizontal="center" vertical="center"/>
    </xf>
    <xf numFmtId="49" fontId="7" fillId="0" borderId="14" xfId="0" applyNumberFormat="1" applyFont="1" applyBorder="1" applyAlignment="1">
      <alignment horizontal="center" vertical="center"/>
    </xf>
    <xf numFmtId="49" fontId="2" fillId="0" borderId="0" xfId="0" applyNumberFormat="1" applyFont="1" applyAlignment="1">
      <alignment vertical="center"/>
    </xf>
    <xf numFmtId="49" fontId="19" fillId="0" borderId="8" xfId="0" applyNumberFormat="1" applyFont="1" applyBorder="1" applyAlignment="1">
      <alignment horizontal="center" vertical="center"/>
    </xf>
    <xf numFmtId="49" fontId="2" fillId="0" borderId="8" xfId="0" applyNumberFormat="1" applyFont="1" applyBorder="1" applyAlignment="1">
      <alignment horizontal="center" vertical="center"/>
    </xf>
    <xf numFmtId="0" fontId="2" fillId="0" borderId="8" xfId="0" applyNumberFormat="1" applyFont="1" applyBorder="1" applyAlignment="1">
      <alignment horizontal="right" vertical="center"/>
    </xf>
    <xf numFmtId="0" fontId="2" fillId="0" borderId="8" xfId="0" applyNumberFormat="1" applyFont="1" applyBorder="1" applyAlignment="1">
      <alignment horizontal="center" vertical="center"/>
    </xf>
    <xf numFmtId="0" fontId="2" fillId="0" borderId="3" xfId="0" applyNumberFormat="1" applyFont="1" applyBorder="1" applyAlignment="1">
      <alignment horizontal="right" vertical="center"/>
    </xf>
    <xf numFmtId="49" fontId="2" fillId="0" borderId="0" xfId="0" applyNumberFormat="1" applyFont="1" applyAlignment="1">
      <alignment vertical="center"/>
    </xf>
    <xf numFmtId="49" fontId="2" fillId="0" borderId="47" xfId="0" applyNumberFormat="1" applyFont="1" applyBorder="1" applyAlignment="1">
      <alignment horizontal="center" vertical="center"/>
    </xf>
    <xf numFmtId="0" fontId="2" fillId="0" borderId="47" xfId="0" applyNumberFormat="1" applyFont="1" applyBorder="1" applyAlignment="1">
      <alignment horizontal="right" vertical="center"/>
    </xf>
    <xf numFmtId="0" fontId="2" fillId="0" borderId="47" xfId="0" applyNumberFormat="1" applyFont="1" applyBorder="1" applyAlignment="1">
      <alignment horizontal="center" vertical="center"/>
    </xf>
    <xf numFmtId="0" fontId="2" fillId="0" borderId="6" xfId="0" applyNumberFormat="1" applyFont="1" applyBorder="1" applyAlignment="1">
      <alignment horizontal="right" vertical="center"/>
    </xf>
    <xf numFmtId="0" fontId="2" fillId="0" borderId="4" xfId="0" applyNumberFormat="1" applyFont="1" applyBorder="1" applyAlignment="1">
      <alignment horizontal="right" vertical="center"/>
    </xf>
    <xf numFmtId="0" fontId="2" fillId="6" borderId="3" xfId="0" applyNumberFormat="1" applyFont="1" applyFill="1" applyBorder="1" applyAlignment="1">
      <alignment horizontal="center" vertical="center"/>
    </xf>
    <xf numFmtId="0" fontId="2" fillId="11" borderId="3" xfId="0" applyNumberFormat="1" applyFont="1" applyFill="1" applyBorder="1" applyAlignment="1">
      <alignment horizontal="left" vertical="center" wrapText="1" indent="1"/>
    </xf>
    <xf numFmtId="0" fontId="2" fillId="10" borderId="3" xfId="0" applyNumberFormat="1" applyFont="1" applyFill="1" applyBorder="1" applyAlignment="1" applyProtection="1">
      <alignment horizontal="left" vertical="center" wrapText="1" indent="1"/>
      <protection locked="0"/>
    </xf>
    <xf numFmtId="0" fontId="2" fillId="12" borderId="3" xfId="0" applyNumberFormat="1" applyFont="1" applyFill="1" applyBorder="1" applyAlignment="1">
      <alignment horizontal="right" vertical="center"/>
    </xf>
    <xf numFmtId="3" fontId="2" fillId="7" borderId="3" xfId="0" applyNumberFormat="1" applyFont="1" applyFill="1" applyBorder="1" applyAlignment="1" applyProtection="1">
      <alignment horizontal="right" vertical="center"/>
      <protection locked="0"/>
    </xf>
    <xf numFmtId="4" fontId="2" fillId="7" borderId="3" xfId="0" applyNumberFormat="1" applyFont="1" applyFill="1" applyBorder="1" applyAlignment="1" applyProtection="1">
      <alignment horizontal="right" vertical="center"/>
      <protection locked="0"/>
    </xf>
    <xf numFmtId="49" fontId="12" fillId="8" borderId="48" xfId="0" applyNumberFormat="1" applyFont="1" applyFill="1" applyBorder="1" applyAlignment="1">
      <alignment horizontal="left" vertical="center" indent="1"/>
    </xf>
    <xf numFmtId="49" fontId="12" fillId="8" borderId="42" xfId="0" applyNumberFormat="1" applyFont="1" applyFill="1" applyBorder="1" applyAlignment="1">
      <alignment horizontal="left" vertical="center" indent="1"/>
    </xf>
    <xf numFmtId="49" fontId="12" fillId="23" borderId="4" xfId="0" applyNumberFormat="1" applyFont="1" applyFill="1" applyBorder="1" applyAlignment="1">
      <alignment horizontal="left" vertical="center" indent="1"/>
    </xf>
    <xf numFmtId="49" fontId="2" fillId="0" borderId="0" xfId="0" applyNumberFormat="1" applyFont="1">
      <alignment vertical="top"/>
    </xf>
    <xf numFmtId="0" fontId="2" fillId="7" borderId="3" xfId="0" applyNumberFormat="1" applyFont="1" applyFill="1" applyBorder="1" applyAlignment="1" applyProtection="1">
      <alignment horizontal="left" vertical="center" indent="1"/>
      <protection locked="0"/>
    </xf>
    <xf numFmtId="0" fontId="2" fillId="19" borderId="0" xfId="0" applyNumberFormat="1" applyFont="1" applyFill="1" applyAlignment="1">
      <alignment horizontal="left" vertical="center"/>
    </xf>
    <xf numFmtId="49" fontId="2" fillId="11" borderId="3" xfId="0" applyNumberFormat="1" applyFont="1" applyFill="1" applyBorder="1" applyAlignment="1">
      <alignment horizontal="center" vertical="center" wrapText="1"/>
    </xf>
    <xf numFmtId="0" fontId="2" fillId="6" borderId="3" xfId="0" applyNumberFormat="1" applyFont="1" applyFill="1" applyBorder="1" applyAlignment="1">
      <alignment horizontal="center" vertical="center" wrapText="1"/>
    </xf>
    <xf numFmtId="0" fontId="2" fillId="0" borderId="0" xfId="0" applyNumberFormat="1" applyFont="1" applyAlignment="1">
      <alignment horizontal="right" vertical="center" wrapText="1"/>
    </xf>
    <xf numFmtId="0" fontId="7" fillId="6" borderId="0" xfId="0" applyNumberFormat="1" applyFont="1" applyFill="1" applyAlignment="1">
      <alignment horizontal="center" vertical="center" wrapText="1"/>
    </xf>
    <xf numFmtId="0" fontId="20" fillId="0" borderId="0" xfId="0" applyNumberFormat="1" applyFont="1" applyAlignment="1">
      <alignment horizontal="center" vertical="center" wrapText="1"/>
    </xf>
    <xf numFmtId="0" fontId="0" fillId="0" borderId="3" xfId="0" applyNumberFormat="1" applyFont="1" applyBorder="1" applyAlignment="1">
      <alignment horizontal="center" vertical="center" wrapText="1"/>
    </xf>
    <xf numFmtId="0" fontId="0" fillId="0" borderId="3" xfId="0" applyNumberFormat="1" applyFont="1" applyBorder="1" applyAlignment="1">
      <alignment horizontal="center" vertical="center" wrapText="1"/>
    </xf>
    <xf numFmtId="49" fontId="2" fillId="0" borderId="3" xfId="0" applyNumberFormat="1" applyFont="1" applyBorder="1" applyAlignment="1">
      <alignment horizontal="center" vertical="center" wrapText="1"/>
    </xf>
    <xf numFmtId="49" fontId="2" fillId="0" borderId="3" xfId="0" applyNumberFormat="1" applyFont="1" applyBorder="1" applyAlignment="1">
      <alignment horizontal="left" vertical="center" wrapText="1"/>
    </xf>
    <xf numFmtId="0" fontId="2" fillId="0" borderId="3" xfId="0" applyNumberFormat="1" applyFont="1" applyBorder="1" applyAlignment="1">
      <alignment horizontal="left" vertical="center" wrapText="1"/>
    </xf>
    <xf numFmtId="0" fontId="2" fillId="6" borderId="3" xfId="0" applyNumberFormat="1" applyFont="1" applyFill="1" applyBorder="1" applyAlignment="1">
      <alignment horizontal="left" vertical="center" wrapText="1"/>
    </xf>
    <xf numFmtId="0" fontId="8" fillId="6" borderId="0" xfId="0" applyNumberFormat="1" applyFont="1" applyFill="1" applyAlignment="1">
      <alignment horizontal="center" vertical="center" wrapText="1"/>
    </xf>
    <xf numFmtId="49" fontId="0" fillId="0" borderId="3" xfId="0" applyNumberFormat="1" applyFont="1" applyBorder="1" applyAlignment="1">
      <alignment horizontal="center" vertical="center" wrapText="1"/>
    </xf>
    <xf numFmtId="49" fontId="0" fillId="0" borderId="3" xfId="0" applyNumberFormat="1" applyFont="1" applyBorder="1" applyAlignment="1">
      <alignment horizontal="center" vertical="center"/>
    </xf>
    <xf numFmtId="0" fontId="2" fillId="6" borderId="10" xfId="0" applyNumberFormat="1" applyFont="1" applyFill="1" applyBorder="1" applyAlignment="1">
      <alignment vertical="center" wrapText="1"/>
    </xf>
    <xf numFmtId="49" fontId="20" fillId="0" borderId="0" xfId="0" applyNumberFormat="1" applyFont="1">
      <alignment vertical="top"/>
    </xf>
    <xf numFmtId="0" fontId="20" fillId="0" borderId="30" xfId="0" applyNumberFormat="1" applyFont="1" applyBorder="1" applyAlignment="1">
      <alignment vertical="center" wrapText="1"/>
    </xf>
    <xf numFmtId="49" fontId="0" fillId="0" borderId="3" xfId="0" applyNumberFormat="1" applyFont="1" applyBorder="1" applyAlignment="1">
      <alignment horizontal="center" vertical="center"/>
    </xf>
    <xf numFmtId="49" fontId="0" fillId="0" borderId="3" xfId="0" applyNumberFormat="1" applyFont="1" applyBorder="1" applyAlignment="1">
      <alignment horizontal="center" vertical="center" wrapText="1"/>
    </xf>
    <xf numFmtId="49" fontId="0" fillId="5" borderId="3" xfId="0" applyNumberFormat="1" applyFont="1" applyFill="1" applyBorder="1" applyAlignment="1">
      <alignment horizontal="center" vertical="center"/>
    </xf>
    <xf numFmtId="49" fontId="2" fillId="0" borderId="13" xfId="0" applyNumberFormat="1" applyFont="1" applyBorder="1">
      <alignment vertical="top"/>
    </xf>
    <xf numFmtId="0" fontId="2" fillId="0" borderId="13" xfId="0" applyNumberFormat="1" applyFont="1" applyBorder="1" applyAlignment="1">
      <alignment vertical="center" wrapText="1"/>
    </xf>
    <xf numFmtId="4" fontId="0" fillId="7" borderId="3" xfId="0" applyNumberFormat="1" applyFont="1" applyFill="1" applyBorder="1" applyAlignment="1" applyProtection="1">
      <alignment horizontal="right" vertical="center" wrapText="1"/>
      <protection locked="0"/>
    </xf>
    <xf numFmtId="4" fontId="0" fillId="5" borderId="3" xfId="0" applyNumberFormat="1" applyFont="1" applyFill="1" applyBorder="1" applyAlignment="1">
      <alignment horizontal="right" vertical="center" wrapText="1"/>
    </xf>
    <xf numFmtId="49" fontId="0" fillId="0" borderId="3" xfId="0" applyNumberFormat="1" applyFont="1" applyBorder="1" applyAlignment="1">
      <alignment horizontal="left" vertical="center" wrapText="1" indent="2"/>
    </xf>
    <xf numFmtId="49" fontId="0" fillId="0" borderId="3" xfId="0" applyNumberFormat="1" applyFont="1" applyBorder="1" applyAlignment="1">
      <alignment horizontal="left" vertical="center" wrapText="1" indent="3"/>
    </xf>
    <xf numFmtId="49" fontId="0" fillId="0" borderId="3" xfId="0" applyNumberFormat="1" applyFont="1" applyBorder="1" applyAlignment="1">
      <alignment horizontal="left" vertical="center" wrapText="1"/>
    </xf>
    <xf numFmtId="0" fontId="2" fillId="0" borderId="29" xfId="0" applyNumberFormat="1" applyFont="1" applyBorder="1" applyAlignment="1">
      <alignment vertical="center"/>
    </xf>
    <xf numFmtId="49" fontId="12" fillId="8" borderId="6" xfId="0" applyNumberFormat="1" applyFont="1" applyFill="1" applyBorder="1" applyAlignment="1">
      <alignment horizontal="left" vertical="center" indent="1"/>
    </xf>
    <xf numFmtId="49" fontId="2" fillId="10" borderId="8" xfId="0" applyNumberFormat="1" applyFont="1" applyFill="1" applyBorder="1" applyAlignment="1" applyProtection="1">
      <alignment horizontal="left" vertical="center" wrapText="1" indent="1"/>
      <protection locked="0"/>
    </xf>
    <xf numFmtId="0" fontId="18" fillId="0" borderId="0" xfId="0" applyNumberFormat="1" applyFont="1" applyAlignment="1">
      <alignment vertical="center" wrapText="1"/>
    </xf>
    <xf numFmtId="0" fontId="2" fillId="6" borderId="19" xfId="0" applyNumberFormat="1" applyFont="1" applyFill="1" applyBorder="1" applyAlignment="1">
      <alignment vertical="center" wrapText="1"/>
    </xf>
    <xf numFmtId="0" fontId="20" fillId="6" borderId="10" xfId="0" applyNumberFormat="1" applyFont="1" applyFill="1" applyBorder="1" applyAlignment="1">
      <alignment horizontal="center" vertical="center" wrapText="1"/>
    </xf>
    <xf numFmtId="49" fontId="46" fillId="0" borderId="0" xfId="0" applyNumberFormat="1" applyFont="1" applyAlignment="1">
      <alignment vertical="center" wrapText="1"/>
    </xf>
    <xf numFmtId="0" fontId="80" fillId="6" borderId="0" xfId="0" applyNumberFormat="1" applyFont="1" applyFill="1" applyAlignment="1">
      <alignment vertical="center" wrapText="1"/>
    </xf>
    <xf numFmtId="0" fontId="45" fillId="0" borderId="0" xfId="0" applyNumberFormat="1" applyFont="1" applyAlignment="1">
      <alignment horizontal="left" vertical="center" wrapText="1"/>
    </xf>
    <xf numFmtId="0" fontId="2" fillId="0" borderId="0" xfId="0" applyNumberFormat="1" applyFont="1" applyAlignment="1">
      <alignment vertical="center"/>
    </xf>
    <xf numFmtId="49" fontId="20" fillId="6" borderId="0" xfId="0" applyNumberFormat="1" applyFont="1" applyFill="1" applyAlignment="1">
      <alignment horizontal="center" vertical="center" wrapText="1"/>
    </xf>
    <xf numFmtId="0" fontId="2" fillId="0" borderId="0" xfId="0" applyNumberFormat="1" applyFont="1" applyAlignment="1">
      <alignment horizontal="left" vertical="center" wrapText="1"/>
    </xf>
    <xf numFmtId="0" fontId="20" fillId="0" borderId="0" xfId="0" applyNumberFormat="1" applyFont="1" applyAlignment="1">
      <alignment vertical="center"/>
    </xf>
    <xf numFmtId="0" fontId="2" fillId="0" borderId="0" xfId="0" applyNumberFormat="1" applyFont="1" applyAlignment="1">
      <alignment horizontal="left" vertical="center" wrapText="1" indent="1"/>
    </xf>
    <xf numFmtId="0" fontId="55" fillId="0" borderId="0" xfId="0" applyNumberFormat="1" applyFont="1" applyAlignment="1">
      <alignment vertical="center" wrapText="1"/>
    </xf>
    <xf numFmtId="0" fontId="2" fillId="0" borderId="0" xfId="0" applyNumberFormat="1" applyFont="1" applyAlignment="1">
      <alignment horizontal="right" vertical="top" wrapText="1"/>
    </xf>
    <xf numFmtId="49" fontId="0" fillId="6" borderId="3" xfId="0" applyNumberFormat="1" applyFont="1" applyFill="1" applyBorder="1" applyAlignment="1">
      <alignment horizontal="center" vertical="center" wrapText="1"/>
    </xf>
    <xf numFmtId="4" fontId="0" fillId="6" borderId="5" xfId="0" applyNumberFormat="1" applyFont="1" applyFill="1" applyBorder="1" applyAlignment="1">
      <alignment horizontal="right" vertical="center"/>
    </xf>
    <xf numFmtId="0" fontId="2" fillId="0" borderId="5" xfId="0" applyNumberFormat="1" applyFont="1" applyBorder="1" applyAlignment="1">
      <alignment horizontal="left" vertical="center" wrapText="1" indent="6"/>
    </xf>
    <xf numFmtId="49" fontId="2" fillId="8" borderId="21" xfId="0" applyNumberFormat="1" applyFont="1" applyFill="1" applyBorder="1" applyAlignment="1">
      <alignment horizontal="center" vertical="center" wrapText="1"/>
    </xf>
    <xf numFmtId="0" fontId="20" fillId="0" borderId="0" xfId="0" applyNumberFormat="1" applyFont="1" applyAlignment="1">
      <alignment vertical="top" wrapText="1"/>
    </xf>
    <xf numFmtId="49" fontId="0" fillId="0" borderId="0" xfId="0" applyNumberFormat="1" applyFont="1" applyAlignment="1">
      <alignment vertical="center" wrapText="1"/>
    </xf>
    <xf numFmtId="0" fontId="81" fillId="6" borderId="0" xfId="0" applyNumberFormat="1" applyFont="1" applyFill="1" applyAlignment="1">
      <alignment vertical="center" wrapText="1"/>
    </xf>
    <xf numFmtId="49" fontId="53" fillId="6" borderId="10" xfId="0" applyNumberFormat="1" applyFont="1" applyFill="1" applyBorder="1" applyAlignment="1">
      <alignment horizontal="center" vertical="center" wrapText="1"/>
    </xf>
    <xf numFmtId="0" fontId="53" fillId="6" borderId="10" xfId="0" applyNumberFormat="1" applyFont="1" applyFill="1" applyBorder="1" applyAlignment="1">
      <alignment horizontal="center" vertical="center" wrapText="1"/>
    </xf>
    <xf numFmtId="49" fontId="2" fillId="0" borderId="0" xfId="0" applyNumberFormat="1" applyFont="1" applyAlignment="1">
      <alignment horizontal="left" vertical="center"/>
    </xf>
    <xf numFmtId="49" fontId="2" fillId="0" borderId="0" xfId="0" applyNumberFormat="1" applyFont="1" applyAlignment="1">
      <alignment horizontal="left" vertical="top"/>
    </xf>
    <xf numFmtId="169" fontId="2" fillId="7" borderId="3" xfId="0" applyNumberFormat="1" applyFont="1" applyFill="1" applyBorder="1" applyAlignment="1" applyProtection="1">
      <alignment horizontal="right" vertical="center" wrapText="1"/>
      <protection locked="0"/>
    </xf>
    <xf numFmtId="0" fontId="17" fillId="0" borderId="3" xfId="0" applyNumberFormat="1" applyFont="1" applyBorder="1" applyAlignment="1">
      <alignment vertical="top" wrapText="1"/>
    </xf>
    <xf numFmtId="0" fontId="2" fillId="11" borderId="3" xfId="0" applyNumberFormat="1" applyFont="1" applyFill="1" applyBorder="1" applyAlignment="1" applyProtection="1">
      <alignment horizontal="left" vertical="center" wrapText="1" indent="6"/>
      <protection locked="0"/>
    </xf>
    <xf numFmtId="0" fontId="2" fillId="0" borderId="0" xfId="0" applyNumberFormat="1" applyFont="1" applyAlignment="1">
      <alignment vertical="center"/>
    </xf>
    <xf numFmtId="0" fontId="82" fillId="0" borderId="0" xfId="0" applyNumberFormat="1" applyFont="1" applyAlignment="1">
      <alignment vertical="center"/>
    </xf>
    <xf numFmtId="0" fontId="82" fillId="0" borderId="0" xfId="0" applyNumberFormat="1" applyFont="1" applyAlignment="1">
      <alignment vertical="center"/>
    </xf>
    <xf numFmtId="0" fontId="2" fillId="0" borderId="0" xfId="0" applyNumberFormat="1" applyFont="1" applyAlignment="1">
      <alignment vertical="center"/>
    </xf>
    <xf numFmtId="0" fontId="82" fillId="0" borderId="0" xfId="0" applyNumberFormat="1" applyFont="1" applyAlignment="1">
      <alignment vertical="center"/>
    </xf>
    <xf numFmtId="0" fontId="2" fillId="0" borderId="0" xfId="0" applyNumberFormat="1" applyFont="1" applyAlignment="1">
      <alignment vertical="center"/>
    </xf>
    <xf numFmtId="0" fontId="2" fillId="0" borderId="0" xfId="0" applyNumberFormat="1" applyFont="1" applyAlignment="1">
      <alignment vertical="center"/>
    </xf>
    <xf numFmtId="0" fontId="2" fillId="0" borderId="0" xfId="0" applyNumberFormat="1" applyFont="1" applyAlignment="1">
      <alignment horizontal="left" vertical="center" indent="1"/>
    </xf>
    <xf numFmtId="49" fontId="2" fillId="0" borderId="0" xfId="0" applyNumberFormat="1" applyFont="1" applyAlignment="1">
      <alignment horizontal="left" vertical="center"/>
    </xf>
    <xf numFmtId="49" fontId="83" fillId="8" borderId="6" xfId="0" applyNumberFormat="1" applyFont="1" applyFill="1" applyBorder="1" applyAlignment="1">
      <alignment horizontal="left" vertical="center" indent="3"/>
    </xf>
    <xf numFmtId="49" fontId="46" fillId="8" borderId="6" xfId="0" applyNumberFormat="1" applyFont="1" applyFill="1" applyBorder="1" applyAlignment="1">
      <alignment horizontal="center" vertical="center" wrapText="1"/>
    </xf>
    <xf numFmtId="49" fontId="40" fillId="8" borderId="6" xfId="0" applyNumberFormat="1" applyFont="1" applyFill="1" applyBorder="1" applyAlignment="1">
      <alignment horizontal="center" vertical="center" wrapText="1"/>
    </xf>
    <xf numFmtId="49" fontId="40" fillId="8" borderId="4" xfId="0" applyNumberFormat="1" applyFont="1" applyFill="1" applyBorder="1" applyAlignment="1">
      <alignment horizontal="center" vertical="center" wrapText="1"/>
    </xf>
    <xf numFmtId="49" fontId="83" fillId="8" borderId="6" xfId="0" applyNumberFormat="1" applyFont="1" applyFill="1" applyBorder="1" applyAlignment="1">
      <alignment horizontal="left" vertical="center" indent="2"/>
    </xf>
    <xf numFmtId="49" fontId="83" fillId="8" borderId="6" xfId="0" applyNumberFormat="1" applyFont="1" applyFill="1" applyBorder="1" applyAlignment="1">
      <alignment horizontal="left" vertical="center" indent="1"/>
    </xf>
    <xf numFmtId="49" fontId="83" fillId="8" borderId="6" xfId="0" applyNumberFormat="1" applyFont="1" applyFill="1" applyBorder="1" applyAlignment="1">
      <alignment horizontal="left" vertical="center"/>
    </xf>
    <xf numFmtId="0" fontId="2" fillId="6" borderId="0" xfId="0" applyNumberFormat="1" applyFont="1" applyFill="1" applyAlignment="1">
      <alignment horizontal="left" vertical="center" wrapText="1"/>
    </xf>
    <xf numFmtId="0" fontId="0" fillId="0" borderId="0" xfId="0" applyNumberFormat="1" applyFont="1" applyAlignment="1">
      <alignment horizontal="left" vertical="center"/>
    </xf>
    <xf numFmtId="49" fontId="53" fillId="6" borderId="10" xfId="0" applyNumberFormat="1" applyFont="1" applyFill="1" applyBorder="1" applyAlignment="1">
      <alignment horizontal="left" vertical="center" wrapText="1"/>
    </xf>
    <xf numFmtId="49" fontId="43" fillId="8" borderId="5" xfId="0" applyNumberFormat="1" applyFont="1" applyFill="1" applyBorder="1" applyAlignment="1">
      <alignment horizontal="left" vertical="center"/>
    </xf>
    <xf numFmtId="49" fontId="75" fillId="8" borderId="5" xfId="0" applyNumberFormat="1" applyFont="1" applyFill="1" applyBorder="1" applyAlignment="1">
      <alignment horizontal="left" vertical="center"/>
    </xf>
    <xf numFmtId="49" fontId="40" fillId="8" borderId="5" xfId="0" applyNumberFormat="1" applyFont="1" applyFill="1" applyBorder="1" applyAlignment="1">
      <alignment horizontal="left" vertical="top"/>
    </xf>
    <xf numFmtId="0" fontId="0" fillId="19" borderId="0" xfId="0" applyNumberFormat="1" applyFont="1" applyFill="1" applyAlignment="1">
      <alignment horizontal="right" vertical="center"/>
    </xf>
    <xf numFmtId="0" fontId="20" fillId="0" borderId="3" xfId="0" applyNumberFormat="1" applyFont="1" applyBorder="1" applyAlignment="1">
      <alignment horizontal="center" vertical="center"/>
    </xf>
    <xf numFmtId="0" fontId="2" fillId="0" borderId="3" xfId="0" applyNumberFormat="1" applyFont="1" applyBorder="1" applyAlignment="1">
      <alignment horizontal="center" vertical="center" wrapText="1"/>
    </xf>
    <xf numFmtId="0" fontId="0" fillId="0" borderId="0" xfId="0" applyNumberFormat="1" applyFont="1" applyAlignment="1">
      <alignment horizontal="left" vertical="top" wrapText="1"/>
    </xf>
    <xf numFmtId="49" fontId="2" fillId="0" borderId="0" xfId="0" applyNumberFormat="1" applyFont="1" applyAlignment="1">
      <alignment vertical="center" wrapText="1"/>
    </xf>
    <xf numFmtId="0" fontId="2" fillId="0" borderId="0" xfId="0" applyNumberFormat="1" applyFont="1" applyAlignment="1">
      <alignment horizontal="right" vertical="center" wrapText="1"/>
    </xf>
    <xf numFmtId="0" fontId="2" fillId="0" borderId="0" xfId="0" applyNumberFormat="1" applyFont="1" applyAlignment="1">
      <alignment horizontal="left" vertical="top" wrapText="1"/>
    </xf>
    <xf numFmtId="0" fontId="53" fillId="6" borderId="10" xfId="0" applyNumberFormat="1" applyFont="1" applyFill="1" applyBorder="1" applyAlignment="1">
      <alignment horizontal="center" vertical="center" wrapText="1"/>
    </xf>
    <xf numFmtId="0" fontId="2" fillId="0" borderId="0" xfId="0" applyNumberFormat="1" applyFont="1" applyAlignment="1">
      <alignment horizontal="center" vertical="center" wrapText="1"/>
    </xf>
    <xf numFmtId="0" fontId="20" fillId="0" borderId="0" xfId="0" applyNumberFormat="1" applyFont="1" applyAlignment="1">
      <alignment horizontal="center" vertical="center" wrapText="1"/>
    </xf>
    <xf numFmtId="0" fontId="0" fillId="0" borderId="3" xfId="0" applyNumberFormat="1" applyFont="1" applyBorder="1" applyAlignment="1">
      <alignment horizontal="center" vertical="center" wrapText="1"/>
    </xf>
    <xf numFmtId="0" fontId="2" fillId="6" borderId="3" xfId="0" applyNumberFormat="1" applyFont="1" applyFill="1" applyBorder="1" applyAlignment="1">
      <alignment horizontal="left" vertical="center" wrapText="1"/>
    </xf>
    <xf numFmtId="49" fontId="2" fillId="0" borderId="3" xfId="0" applyNumberFormat="1" applyFont="1" applyBorder="1" applyAlignment="1">
      <alignment horizontal="left" vertical="center" wrapText="1"/>
    </xf>
    <xf numFmtId="0" fontId="27" fillId="19" borderId="0" xfId="0" applyNumberFormat="1" applyFont="1" applyFill="1" applyAlignment="1">
      <alignment horizontal="left" vertical="center"/>
    </xf>
    <xf numFmtId="49" fontId="2" fillId="0" borderId="11" xfId="0" applyNumberFormat="1" applyFont="1" applyBorder="1" applyAlignment="1">
      <alignment horizontal="left" vertical="center" wrapText="1"/>
    </xf>
    <xf numFmtId="0" fontId="12" fillId="0" borderId="0" xfId="0" applyNumberFormat="1" applyFont="1" applyAlignment="1">
      <alignment horizontal="left" vertical="center"/>
    </xf>
    <xf numFmtId="0" fontId="12" fillId="0" borderId="15" xfId="0" applyNumberFormat="1" applyFont="1" applyBorder="1" applyAlignment="1">
      <alignment horizontal="left" vertical="center"/>
    </xf>
    <xf numFmtId="0" fontId="12" fillId="0" borderId="18" xfId="0" applyNumberFormat="1" applyFont="1" applyBorder="1" applyAlignment="1">
      <alignment horizontal="left" vertical="center"/>
    </xf>
    <xf numFmtId="0" fontId="12" fillId="0" borderId="19" xfId="0" applyNumberFormat="1" applyFont="1" applyBorder="1" applyAlignment="1">
      <alignment horizontal="left" vertical="center"/>
    </xf>
    <xf numFmtId="0" fontId="0" fillId="0" borderId="19" xfId="0" applyNumberFormat="1" applyFont="1" applyBorder="1" applyAlignment="1">
      <alignment vertical="center"/>
    </xf>
    <xf numFmtId="0" fontId="12" fillId="0" borderId="21" xfId="0" applyNumberFormat="1" applyFont="1" applyBorder="1" applyAlignment="1">
      <alignment horizontal="left" vertical="center"/>
    </xf>
    <xf numFmtId="49" fontId="2" fillId="0" borderId="0" xfId="0" applyNumberFormat="1" applyFont="1" applyAlignment="1">
      <alignment vertical="center" wrapText="1"/>
    </xf>
    <xf numFmtId="0" fontId="2" fillId="0" borderId="0" xfId="0" applyNumberFormat="1" applyFont="1" applyAlignment="1">
      <alignment horizontal="center" vertical="center" wrapText="1"/>
    </xf>
    <xf numFmtId="0" fontId="20" fillId="0" borderId="0" xfId="0" applyNumberFormat="1" applyFont="1" applyAlignment="1">
      <alignment horizontal="center" vertical="center" wrapText="1"/>
    </xf>
    <xf numFmtId="49" fontId="2" fillId="0" borderId="3" xfId="0" applyNumberFormat="1" applyFont="1" applyBorder="1" applyAlignment="1">
      <alignment horizontal="left" vertical="center" wrapText="1"/>
    </xf>
    <xf numFmtId="0" fontId="17" fillId="0" borderId="8" xfId="0" applyNumberFormat="1" applyFont="1" applyBorder="1" applyAlignment="1">
      <alignment vertical="top" wrapText="1"/>
    </xf>
    <xf numFmtId="0" fontId="2" fillId="6" borderId="3" xfId="0" applyNumberFormat="1" applyFont="1" applyFill="1" applyBorder="1" applyAlignment="1">
      <alignment horizontal="left" vertical="center" wrapText="1"/>
    </xf>
    <xf numFmtId="0" fontId="2" fillId="0" borderId="0" xfId="0" applyNumberFormat="1" applyFont="1" applyAlignment="1">
      <alignment horizontal="center" vertical="center"/>
    </xf>
    <xf numFmtId="49" fontId="2" fillId="0" borderId="0" xfId="0" applyNumberFormat="1" applyFont="1" applyAlignment="1">
      <alignment vertical="center" wrapText="1"/>
    </xf>
    <xf numFmtId="0" fontId="53" fillId="6" borderId="10" xfId="0" applyNumberFormat="1" applyFont="1" applyFill="1" applyBorder="1" applyAlignment="1">
      <alignment horizontal="center" vertical="center" wrapText="1"/>
    </xf>
    <xf numFmtId="0" fontId="0" fillId="0" borderId="3" xfId="0" applyNumberFormat="1" applyFont="1" applyBorder="1" applyAlignment="1">
      <alignment horizontal="center" vertical="center" wrapText="1"/>
    </xf>
    <xf numFmtId="0" fontId="20" fillId="0" borderId="0" xfId="0" applyNumberFormat="1" applyFont="1" applyAlignment="1">
      <alignment horizontal="left" vertical="center" indent="1"/>
    </xf>
    <xf numFmtId="0" fontId="20" fillId="0" borderId="0" xfId="0" applyNumberFormat="1" applyFont="1" applyAlignment="1">
      <alignment horizontal="left" vertical="center" wrapText="1"/>
    </xf>
    <xf numFmtId="49" fontId="20" fillId="0" borderId="0" xfId="0" applyNumberFormat="1" applyFont="1">
      <alignment vertical="top"/>
    </xf>
    <xf numFmtId="49" fontId="81" fillId="0" borderId="0" xfId="0" applyNumberFormat="1" applyFont="1">
      <alignment vertical="top"/>
    </xf>
    <xf numFmtId="49" fontId="71" fillId="0" borderId="10" xfId="0" applyNumberFormat="1" applyFont="1" applyBorder="1" applyAlignment="1">
      <alignment horizontal="left" vertical="center"/>
    </xf>
    <xf numFmtId="49" fontId="20" fillId="0" borderId="10" xfId="0" applyNumberFormat="1" applyFont="1" applyBorder="1" applyAlignment="1">
      <alignment horizontal="left" vertical="center" indent="3"/>
    </xf>
    <xf numFmtId="49" fontId="20" fillId="0" borderId="10" xfId="0" applyNumberFormat="1" applyFont="1" applyBorder="1" applyAlignment="1">
      <alignment horizontal="center" vertical="center" wrapText="1"/>
    </xf>
    <xf numFmtId="49" fontId="20" fillId="0" borderId="0" xfId="0" applyNumberFormat="1" applyFont="1" applyAlignment="1">
      <alignment horizontal="left" vertical="center"/>
    </xf>
    <xf numFmtId="49" fontId="71" fillId="0" borderId="0" xfId="0" applyNumberFormat="1" applyFont="1" applyAlignment="1">
      <alignment horizontal="left" vertical="center"/>
    </xf>
    <xf numFmtId="49" fontId="20" fillId="0" borderId="0" xfId="0" applyNumberFormat="1" applyFont="1" applyAlignment="1">
      <alignment horizontal="left" vertical="center" indent="2"/>
    </xf>
    <xf numFmtId="49" fontId="20" fillId="0" borderId="0" xfId="0" applyNumberFormat="1" applyFont="1" applyAlignment="1">
      <alignment horizontal="center" vertical="center" wrapText="1"/>
    </xf>
    <xf numFmtId="49" fontId="20" fillId="0" borderId="0" xfId="0" applyNumberFormat="1" applyFont="1" applyAlignment="1">
      <alignment horizontal="left" vertical="center" indent="1"/>
    </xf>
    <xf numFmtId="0" fontId="2" fillId="0" borderId="0" xfId="0" applyNumberFormat="1" applyFont="1" applyAlignment="1">
      <alignment horizontal="center" vertical="center" wrapText="1"/>
    </xf>
    <xf numFmtId="49" fontId="2" fillId="0" borderId="0" xfId="0" applyNumberFormat="1" applyFont="1" applyAlignment="1">
      <alignment vertical="center" wrapText="1"/>
    </xf>
    <xf numFmtId="0" fontId="19" fillId="0" borderId="0" xfId="0" applyNumberFormat="1" applyFont="1" applyAlignment="1">
      <alignment horizontal="center" vertical="center" wrapText="1"/>
    </xf>
    <xf numFmtId="0" fontId="2" fillId="6" borderId="3" xfId="0" applyNumberFormat="1" applyFont="1" applyFill="1" applyBorder="1" applyAlignment="1">
      <alignment horizontal="center" vertical="center" wrapText="1"/>
    </xf>
    <xf numFmtId="0" fontId="20" fillId="0" borderId="0" xfId="0" applyNumberFormat="1" applyFont="1" applyAlignment="1">
      <alignment horizontal="center" vertical="center" wrapText="1"/>
    </xf>
    <xf numFmtId="0" fontId="2" fillId="0" borderId="0" xfId="0" applyNumberFormat="1" applyFont="1" applyAlignment="1">
      <alignment horizontal="center" vertical="center" wrapText="1"/>
    </xf>
    <xf numFmtId="0" fontId="2" fillId="0" borderId="0" xfId="0" applyNumberFormat="1" applyFont="1" applyAlignment="1">
      <alignment horizontal="left" vertical="top" wrapText="1"/>
    </xf>
    <xf numFmtId="0" fontId="0" fillId="0" borderId="4" xfId="0" applyNumberFormat="1" applyFont="1" applyBorder="1" applyAlignment="1">
      <alignment horizontal="center" vertical="center" wrapText="1"/>
    </xf>
    <xf numFmtId="0" fontId="53" fillId="6" borderId="10" xfId="0" applyNumberFormat="1" applyFont="1" applyFill="1" applyBorder="1" applyAlignment="1">
      <alignment horizontal="center" vertical="center" wrapText="1"/>
    </xf>
    <xf numFmtId="0" fontId="2" fillId="6" borderId="3" xfId="0" applyNumberFormat="1" applyFont="1" applyFill="1" applyBorder="1" applyAlignment="1">
      <alignment horizontal="left" vertical="center" wrapText="1"/>
    </xf>
    <xf numFmtId="49" fontId="2" fillId="6" borderId="3" xfId="0" applyNumberFormat="1" applyFont="1" applyFill="1" applyBorder="1" applyAlignment="1">
      <alignment horizontal="center" vertical="center" wrapText="1"/>
    </xf>
    <xf numFmtId="0" fontId="0" fillId="0" borderId="3" xfId="0" applyNumberFormat="1" applyFont="1" applyBorder="1" applyAlignment="1">
      <alignment horizontal="center" vertical="center" wrapText="1"/>
    </xf>
    <xf numFmtId="0" fontId="20" fillId="0" borderId="0" xfId="0" applyNumberFormat="1" applyFont="1" applyAlignment="1">
      <alignment horizontal="center" vertical="center"/>
    </xf>
    <xf numFmtId="0" fontId="2" fillId="0" borderId="0" xfId="0" applyNumberFormat="1" applyFont="1" applyAlignment="1">
      <alignment horizontal="right" vertical="center" wrapText="1"/>
    </xf>
    <xf numFmtId="0" fontId="53" fillId="6" borderId="0" xfId="0" applyNumberFormat="1" applyFont="1" applyFill="1" applyAlignment="1">
      <alignment horizontal="center" vertical="center" wrapText="1"/>
    </xf>
    <xf numFmtId="49" fontId="2" fillId="0" borderId="3" xfId="0" applyNumberFormat="1" applyFont="1" applyBorder="1" applyAlignment="1">
      <alignment horizontal="left" vertical="center" wrapText="1"/>
    </xf>
    <xf numFmtId="0" fontId="20" fillId="0" borderId="0" xfId="0" applyNumberFormat="1" applyFont="1" applyAlignment="1">
      <alignment horizontal="left" vertical="center" indent="1"/>
    </xf>
    <xf numFmtId="49" fontId="81" fillId="0" borderId="0" xfId="0" applyNumberFormat="1" applyFont="1">
      <alignment vertical="top"/>
    </xf>
    <xf numFmtId="49" fontId="2" fillId="0" borderId="3" xfId="0" applyNumberFormat="1" applyFont="1" applyBorder="1" applyAlignment="1">
      <alignment vertical="center" wrapText="1"/>
    </xf>
    <xf numFmtId="0" fontId="20" fillId="0" borderId="0" xfId="0" applyNumberFormat="1" applyFont="1" applyAlignment="1">
      <alignment horizontal="center" vertical="center"/>
    </xf>
    <xf numFmtId="0" fontId="2" fillId="11" borderId="3" xfId="0" applyNumberFormat="1" applyFont="1" applyFill="1" applyBorder="1" applyAlignment="1">
      <alignment horizontal="left" vertical="center" wrapText="1" indent="6"/>
    </xf>
    <xf numFmtId="4" fontId="2" fillId="0" borderId="8" xfId="0" applyNumberFormat="1" applyFont="1" applyBorder="1" applyAlignment="1">
      <alignment horizontal="right" vertical="center" wrapText="1"/>
    </xf>
    <xf numFmtId="4" fontId="2" fillId="0" borderId="14" xfId="0" applyNumberFormat="1" applyFont="1" applyBorder="1" applyAlignment="1">
      <alignment horizontal="right" vertical="center" wrapText="1"/>
    </xf>
    <xf numFmtId="0" fontId="0" fillId="0" borderId="0" xfId="0" applyNumberFormat="1" applyFont="1" applyAlignment="1">
      <alignment vertical="center"/>
    </xf>
    <xf numFmtId="0" fontId="2" fillId="0" borderId="8" xfId="0" applyNumberFormat="1" applyFont="1" applyBorder="1" applyAlignment="1">
      <alignment horizontal="center" vertical="center" wrapText="1"/>
    </xf>
    <xf numFmtId="0" fontId="53" fillId="6" borderId="10" xfId="0" applyNumberFormat="1" applyFont="1" applyFill="1" applyBorder="1" applyAlignment="1">
      <alignment horizontal="center" vertical="center" wrapText="1"/>
    </xf>
    <xf numFmtId="0" fontId="20" fillId="0" borderId="0" xfId="0" applyNumberFormat="1" applyFont="1" applyAlignment="1">
      <alignment horizontal="center" vertical="center" wrapText="1"/>
    </xf>
    <xf numFmtId="0" fontId="2" fillId="0" borderId="0" xfId="0" applyNumberFormat="1" applyFont="1" applyAlignment="1">
      <alignment horizontal="right" vertical="center" wrapText="1"/>
    </xf>
    <xf numFmtId="0" fontId="2" fillId="0" borderId="0" xfId="0" applyNumberFormat="1" applyFont="1" applyAlignment="1">
      <alignment horizontal="center" vertical="center" wrapText="1"/>
    </xf>
    <xf numFmtId="0" fontId="0" fillId="0" borderId="3" xfId="0" applyNumberFormat="1" applyFont="1" applyBorder="1" applyAlignment="1">
      <alignment horizontal="center" vertical="center" wrapText="1"/>
    </xf>
    <xf numFmtId="0" fontId="2" fillId="6" borderId="3" xfId="0" applyNumberFormat="1" applyFont="1" applyFill="1" applyBorder="1" applyAlignment="1">
      <alignment horizontal="left" vertical="center" wrapText="1"/>
    </xf>
    <xf numFmtId="49" fontId="2" fillId="0" borderId="3" xfId="0" applyNumberFormat="1" applyFont="1" applyBorder="1" applyAlignment="1">
      <alignment horizontal="left" vertical="center" wrapText="1"/>
    </xf>
    <xf numFmtId="4" fontId="19" fillId="0" borderId="3" xfId="0" applyNumberFormat="1" applyFont="1" applyBorder="1" applyAlignment="1">
      <alignment horizontal="right" vertical="center" wrapText="1"/>
    </xf>
    <xf numFmtId="169" fontId="19" fillId="0" borderId="3" xfId="0" applyNumberFormat="1" applyFont="1" applyBorder="1" applyAlignment="1">
      <alignment horizontal="right" vertical="center" wrapText="1"/>
    </xf>
    <xf numFmtId="49" fontId="19" fillId="0" borderId="0" xfId="0" applyNumberFormat="1" applyFont="1" applyAlignment="1">
      <alignment vertical="center" wrapText="1"/>
    </xf>
    <xf numFmtId="0" fontId="19" fillId="0" borderId="0" xfId="0" applyNumberFormat="1" applyFont="1" applyAlignment="1">
      <alignment horizontal="left" vertical="center" indent="1"/>
    </xf>
    <xf numFmtId="0" fontId="19" fillId="0" borderId="0" xfId="0" applyNumberFormat="1" applyFont="1" applyAlignment="1">
      <alignment horizontal="center" vertical="center"/>
    </xf>
    <xf numFmtId="0" fontId="19" fillId="0" borderId="0" xfId="0" applyNumberFormat="1" applyFont="1" applyAlignment="1">
      <alignment horizontal="left" vertical="center" wrapText="1"/>
    </xf>
    <xf numFmtId="0" fontId="19" fillId="0" borderId="0" xfId="0" applyNumberFormat="1" applyFont="1" applyAlignment="1">
      <alignment vertical="center" wrapText="1"/>
    </xf>
    <xf numFmtId="49" fontId="19" fillId="0" borderId="3" xfId="0" applyNumberFormat="1" applyFont="1" applyBorder="1" applyAlignment="1">
      <alignment vertical="center" wrapText="1"/>
    </xf>
    <xf numFmtId="0" fontId="19" fillId="0" borderId="0" xfId="0" applyNumberFormat="1" applyFont="1" applyAlignment="1">
      <alignment vertical="center"/>
    </xf>
    <xf numFmtId="0" fontId="19" fillId="0" borderId="0" xfId="0" applyNumberFormat="1" applyFont="1" applyAlignment="1">
      <alignment horizontal="center" vertical="center"/>
    </xf>
    <xf numFmtId="0" fontId="19" fillId="0" borderId="0" xfId="0" applyNumberFormat="1" applyFont="1" applyAlignment="1">
      <alignment vertical="center"/>
    </xf>
    <xf numFmtId="0" fontId="42" fillId="0" borderId="0" xfId="0" applyNumberFormat="1" applyFont="1" applyAlignment="1">
      <alignment vertical="center" wrapText="1"/>
    </xf>
    <xf numFmtId="0" fontId="0" fillId="0" borderId="6" xfId="0" applyNumberFormat="1" applyFont="1" applyBorder="1" applyAlignment="1">
      <alignment vertical="center"/>
    </xf>
    <xf numFmtId="0" fontId="20" fillId="0" borderId="3" xfId="0" applyNumberFormat="1" applyFont="1" applyBorder="1" applyAlignment="1">
      <alignment horizontal="center" vertical="center" wrapText="1"/>
    </xf>
    <xf numFmtId="0" fontId="46" fillId="0" borderId="0" xfId="0" applyNumberFormat="1" applyFont="1" applyAlignment="1">
      <alignment horizontal="left" vertical="center" indent="1"/>
    </xf>
    <xf numFmtId="0" fontId="46" fillId="0" borderId="0" xfId="0" applyNumberFormat="1" applyFont="1" applyAlignment="1">
      <alignment horizontal="left" vertical="center" indent="1"/>
    </xf>
    <xf numFmtId="0" fontId="20" fillId="0" borderId="3" xfId="0" applyNumberFormat="1" applyFont="1" applyBorder="1" applyAlignment="1">
      <alignment vertical="center" wrapText="1"/>
    </xf>
    <xf numFmtId="0" fontId="46" fillId="0" borderId="0" xfId="0" applyNumberFormat="1" applyFont="1" applyAlignment="1">
      <alignment horizontal="center" vertical="center"/>
    </xf>
    <xf numFmtId="0" fontId="46" fillId="0" borderId="0" xfId="0" applyNumberFormat="1" applyFont="1" applyAlignment="1">
      <alignment horizontal="left" vertical="center" wrapText="1"/>
    </xf>
    <xf numFmtId="49" fontId="46" fillId="0" borderId="0" xfId="0" applyNumberFormat="1" applyFont="1" applyAlignment="1">
      <alignment horizontal="left" vertical="center"/>
    </xf>
    <xf numFmtId="0" fontId="2" fillId="0" borderId="0" xfId="0" applyNumberFormat="1" applyFont="1" applyAlignment="1">
      <alignment horizontal="center" vertical="center"/>
    </xf>
    <xf numFmtId="0" fontId="46" fillId="0" borderId="0" xfId="0" applyNumberFormat="1" applyFont="1" applyAlignment="1">
      <alignment horizontal="center" vertical="center"/>
    </xf>
    <xf numFmtId="4" fontId="2" fillId="0" borderId="4" xfId="0" applyNumberFormat="1" applyFont="1" applyBorder="1" applyAlignment="1">
      <alignment horizontal="right" vertical="center" wrapText="1"/>
    </xf>
    <xf numFmtId="0" fontId="20" fillId="0" borderId="3" xfId="0" applyNumberFormat="1" applyFont="1" applyBorder="1" applyAlignment="1">
      <alignment horizontal="left" vertical="center" wrapText="1" indent="4"/>
    </xf>
    <xf numFmtId="0" fontId="20" fillId="0" borderId="3" xfId="0" applyNumberFormat="1" applyFont="1" applyBorder="1" applyAlignment="1">
      <alignment horizontal="left" vertical="center" wrapText="1" indent="6"/>
    </xf>
    <xf numFmtId="0" fontId="20" fillId="0" borderId="3" xfId="0" applyNumberFormat="1" applyFont="1" applyBorder="1" applyAlignment="1">
      <alignment vertical="top" wrapText="1"/>
    </xf>
    <xf numFmtId="49" fontId="71" fillId="0" borderId="5" xfId="0" applyNumberFormat="1" applyFont="1" applyBorder="1" applyAlignment="1">
      <alignment horizontal="left" vertical="center"/>
    </xf>
    <xf numFmtId="49" fontId="20" fillId="0" borderId="6" xfId="0" applyNumberFormat="1" applyFont="1" applyBorder="1" applyAlignment="1">
      <alignment horizontal="left" vertical="center" indent="4"/>
    </xf>
    <xf numFmtId="49" fontId="20" fillId="0" borderId="6" xfId="0" applyNumberFormat="1" applyFont="1" applyBorder="1" applyAlignment="1">
      <alignment horizontal="center" vertical="center" wrapText="1"/>
    </xf>
    <xf numFmtId="49" fontId="20" fillId="0" borderId="4" xfId="0" applyNumberFormat="1" applyFont="1" applyBorder="1" applyAlignment="1">
      <alignment horizontal="center" vertical="center" wrapText="1"/>
    </xf>
    <xf numFmtId="4" fontId="2" fillId="0" borderId="27" xfId="0" applyNumberFormat="1" applyFont="1" applyBorder="1" applyAlignment="1">
      <alignment horizontal="right" vertical="center" wrapText="1"/>
    </xf>
    <xf numFmtId="0" fontId="2" fillId="7" borderId="3" xfId="0" applyNumberFormat="1" applyFont="1" applyFill="1" applyBorder="1" applyAlignment="1" applyProtection="1">
      <alignment horizontal="left" vertical="center" wrapText="1" indent="7"/>
      <protection locked="0"/>
    </xf>
    <xf numFmtId="0" fontId="2" fillId="8" borderId="6" xfId="0" applyNumberFormat="1" applyFont="1" applyFill="1" applyBorder="1" applyAlignment="1">
      <alignment horizontal="left" vertical="center" wrapText="1" indent="6"/>
    </xf>
    <xf numFmtId="4" fontId="2" fillId="8" borderId="6" xfId="0" applyNumberFormat="1" applyFont="1" applyFill="1" applyBorder="1" applyAlignment="1">
      <alignment horizontal="right" vertical="center" wrapText="1"/>
    </xf>
    <xf numFmtId="4" fontId="20" fillId="8" borderId="6" xfId="0" applyNumberFormat="1" applyFont="1" applyFill="1" applyBorder="1" applyAlignment="1">
      <alignment horizontal="center" vertical="center" wrapText="1"/>
    </xf>
    <xf numFmtId="4" fontId="2" fillId="8" borderId="4" xfId="0" applyNumberFormat="1" applyFont="1" applyFill="1" applyBorder="1" applyAlignment="1">
      <alignment horizontal="right" vertical="center" wrapText="1"/>
    </xf>
    <xf numFmtId="4" fontId="20" fillId="8" borderId="4" xfId="0" applyNumberFormat="1" applyFont="1" applyFill="1" applyBorder="1" applyAlignment="1">
      <alignment horizontal="center" vertical="center" wrapText="1"/>
    </xf>
    <xf numFmtId="169" fontId="2" fillId="8" borderId="4" xfId="0" applyNumberFormat="1" applyFont="1" applyFill="1" applyBorder="1" applyAlignment="1">
      <alignment horizontal="right" vertical="center" wrapText="1"/>
    </xf>
    <xf numFmtId="0" fontId="2" fillId="11" borderId="3" xfId="0" applyNumberFormat="1" applyFont="1" applyFill="1" applyBorder="1" applyAlignment="1">
      <alignment horizontal="left" vertical="center" wrapText="1" indent="1"/>
    </xf>
    <xf numFmtId="0" fontId="20" fillId="0" borderId="3" xfId="0" applyNumberFormat="1" applyFont="1" applyBorder="1" applyAlignment="1">
      <alignment horizontal="left" vertical="center" wrapText="1" indent="5"/>
    </xf>
    <xf numFmtId="49" fontId="46" fillId="0" borderId="15" xfId="0" applyNumberFormat="1" applyFont="1" applyBorder="1">
      <alignment vertical="top"/>
    </xf>
    <xf numFmtId="49" fontId="20" fillId="0" borderId="15" xfId="0" applyNumberFormat="1" applyFont="1" applyBorder="1">
      <alignment vertical="top"/>
    </xf>
    <xf numFmtId="0" fontId="2" fillId="0" borderId="3" xfId="0" applyNumberFormat="1" applyFont="1" applyBorder="1" applyAlignment="1">
      <alignment horizontal="left" vertical="center" wrapText="1" indent="1"/>
    </xf>
    <xf numFmtId="4" fontId="20" fillId="0" borderId="3" xfId="0" applyNumberFormat="1" applyFont="1" applyBorder="1" applyAlignment="1">
      <alignment horizontal="right" vertical="center" wrapText="1"/>
    </xf>
    <xf numFmtId="169" fontId="20" fillId="0" borderId="3" xfId="0" applyNumberFormat="1" applyFont="1" applyBorder="1" applyAlignment="1">
      <alignment horizontal="right" vertical="center" wrapText="1"/>
    </xf>
    <xf numFmtId="169" fontId="2" fillId="7" borderId="5" xfId="0" applyNumberFormat="1" applyFont="1" applyFill="1" applyBorder="1" applyAlignment="1" applyProtection="1">
      <alignment horizontal="right" vertical="center" wrapText="1"/>
      <protection locked="0"/>
    </xf>
    <xf numFmtId="4" fontId="20" fillId="0" borderId="5" xfId="0" applyNumberFormat="1" applyFont="1" applyBorder="1" applyAlignment="1">
      <alignment horizontal="center" vertical="center" wrapText="1"/>
    </xf>
    <xf numFmtId="4" fontId="2" fillId="7" borderId="4" xfId="0" applyNumberFormat="1" applyFont="1" applyFill="1" applyBorder="1" applyAlignment="1" applyProtection="1">
      <alignment horizontal="right" vertical="center" wrapText="1"/>
      <protection locked="0"/>
    </xf>
    <xf numFmtId="49" fontId="2" fillId="8" borderId="19" xfId="0" applyNumberFormat="1" applyFont="1" applyFill="1" applyBorder="1" applyAlignment="1">
      <alignment horizontal="center" vertical="center" wrapText="1"/>
    </xf>
    <xf numFmtId="49" fontId="19" fillId="0" borderId="0" xfId="0" applyNumberFormat="1" applyFont="1" applyAlignment="1">
      <alignment vertical="center" wrapText="1"/>
    </xf>
    <xf numFmtId="0" fontId="19" fillId="0" borderId="0" xfId="0" applyNumberFormat="1" applyFont="1" applyAlignment="1">
      <alignment horizontal="center" vertical="center" wrapText="1"/>
    </xf>
    <xf numFmtId="0" fontId="29" fillId="6" borderId="0" xfId="0" applyNumberFormat="1" applyFont="1" applyFill="1" applyAlignment="1">
      <alignment horizontal="center" vertical="center" wrapText="1"/>
    </xf>
    <xf numFmtId="0" fontId="29" fillId="0" borderId="0" xfId="0" applyNumberFormat="1" applyFont="1" applyAlignment="1">
      <alignment vertical="center" wrapText="1"/>
    </xf>
    <xf numFmtId="0" fontId="20" fillId="0" borderId="0" xfId="0" applyNumberFormat="1" applyFont="1" applyAlignment="1">
      <alignment vertical="center"/>
    </xf>
    <xf numFmtId="0" fontId="21" fillId="0" borderId="0" xfId="0" applyNumberFormat="1" applyFont="1" applyAlignment="1">
      <alignment vertical="center"/>
    </xf>
    <xf numFmtId="0" fontId="20" fillId="0" borderId="0" xfId="0" applyNumberFormat="1" applyFont="1" applyAlignment="1">
      <alignment vertical="center"/>
    </xf>
    <xf numFmtId="0" fontId="20" fillId="0" borderId="0" xfId="0" applyNumberFormat="1" applyFont="1" applyAlignment="1">
      <alignment vertical="center"/>
    </xf>
    <xf numFmtId="49" fontId="2" fillId="0" borderId="0" xfId="0" applyNumberFormat="1" applyFont="1" applyAlignment="1">
      <alignment horizontal="center" vertical="center" wrapText="1"/>
    </xf>
    <xf numFmtId="49" fontId="0" fillId="0" borderId="10" xfId="0" applyNumberFormat="1" applyFont="1" applyBorder="1" applyAlignment="1">
      <alignment horizontal="left" vertical="center" wrapText="1"/>
    </xf>
    <xf numFmtId="49" fontId="2" fillId="0" borderId="10" xfId="0" applyNumberFormat="1" applyFont="1" applyBorder="1" applyAlignment="1">
      <alignment horizontal="center" vertical="center" wrapText="1"/>
    </xf>
    <xf numFmtId="0" fontId="19" fillId="0" borderId="0" xfId="0" applyNumberFormat="1" applyFont="1" applyAlignment="1">
      <alignment horizontal="center" vertical="center" wrapText="1"/>
    </xf>
    <xf numFmtId="0" fontId="20" fillId="0" borderId="0" xfId="0" applyNumberFormat="1" applyFont="1" applyAlignment="1">
      <alignment horizontal="center" vertical="center" wrapText="1"/>
    </xf>
    <xf numFmtId="0" fontId="2" fillId="0" borderId="0" xfId="0" applyNumberFormat="1" applyFont="1" applyAlignment="1">
      <alignment horizontal="center" vertical="center" wrapText="1"/>
    </xf>
    <xf numFmtId="49" fontId="2" fillId="0" borderId="3" xfId="0" applyNumberFormat="1" applyFont="1" applyBorder="1" applyAlignment="1">
      <alignment horizontal="left" vertical="center" wrapText="1"/>
    </xf>
    <xf numFmtId="0" fontId="2" fillId="6" borderId="3" xfId="0" applyNumberFormat="1" applyFont="1" applyFill="1" applyBorder="1" applyAlignment="1">
      <alignment horizontal="left" vertical="center" wrapText="1"/>
    </xf>
    <xf numFmtId="0" fontId="20" fillId="0" borderId="0" xfId="0" applyNumberFormat="1" applyFont="1" applyAlignment="1">
      <alignment horizontal="center" vertical="center"/>
    </xf>
    <xf numFmtId="49" fontId="2" fillId="0" borderId="0" xfId="0" applyNumberFormat="1" applyFont="1" applyAlignment="1">
      <alignment horizontal="center" vertical="top"/>
    </xf>
    <xf numFmtId="49" fontId="3" fillId="0" borderId="0" xfId="0" applyNumberFormat="1" applyFont="1" applyAlignment="1">
      <alignment horizontal="center" vertical="center"/>
    </xf>
    <xf numFmtId="0" fontId="0" fillId="0" borderId="0" xfId="0" applyNumberFormat="1" applyFont="1" applyAlignment="1">
      <alignment horizontal="left" vertical="center"/>
    </xf>
    <xf numFmtId="0" fontId="27" fillId="0" borderId="0" xfId="0" applyNumberFormat="1" applyFont="1" applyAlignment="1">
      <alignment horizontal="left" vertical="center"/>
    </xf>
    <xf numFmtId="49" fontId="0" fillId="0" borderId="0" xfId="0" applyNumberFormat="1" applyFont="1" applyAlignment="1">
      <alignment vertical="center"/>
    </xf>
    <xf numFmtId="0" fontId="0" fillId="0" borderId="0" xfId="0" applyNumberFormat="1" applyFont="1" applyAlignment="1">
      <alignment horizontal="right" vertical="top"/>
    </xf>
    <xf numFmtId="0" fontId="12" fillId="8" borderId="21" xfId="0" applyNumberFormat="1" applyFont="1" applyFill="1" applyBorder="1" applyAlignment="1">
      <alignment horizontal="left" vertical="center"/>
    </xf>
    <xf numFmtId="49" fontId="20" fillId="0" borderId="5" xfId="0" applyNumberFormat="1" applyFont="1" applyBorder="1" applyAlignment="1">
      <alignment horizontal="left" vertical="center" wrapText="1"/>
    </xf>
    <xf numFmtId="0" fontId="20" fillId="0" borderId="5" xfId="0" applyNumberFormat="1" applyFont="1" applyBorder="1" applyAlignment="1">
      <alignment horizontal="left" vertical="center"/>
    </xf>
    <xf numFmtId="0" fontId="20" fillId="0" borderId="6" xfId="0" applyNumberFormat="1" applyFont="1" applyBorder="1" applyAlignment="1">
      <alignment horizontal="left" vertical="center"/>
    </xf>
    <xf numFmtId="49" fontId="2" fillId="7" borderId="3" xfId="0" applyNumberFormat="1" applyFont="1" applyFill="1" applyBorder="1" applyAlignment="1" applyProtection="1">
      <alignment horizontal="left" vertical="center" wrapText="1" indent="6"/>
      <protection locked="0"/>
    </xf>
    <xf numFmtId="4" fontId="2" fillId="0" borderId="28" xfId="0" applyNumberFormat="1" applyFont="1" applyBorder="1" applyAlignment="1">
      <alignment horizontal="right" vertical="center" wrapText="1"/>
    </xf>
    <xf numFmtId="4" fontId="2" fillId="0" borderId="18" xfId="0" applyNumberFormat="1" applyFont="1" applyBorder="1" applyAlignment="1">
      <alignment horizontal="right" vertical="center" wrapText="1"/>
    </xf>
    <xf numFmtId="49" fontId="0" fillId="8" borderId="21" xfId="0" applyNumberFormat="1" applyFont="1" applyFill="1" applyBorder="1" applyAlignment="1">
      <alignment horizontal="center" vertical="center" wrapText="1"/>
    </xf>
    <xf numFmtId="0" fontId="84" fillId="0" borderId="0" xfId="0" applyNumberFormat="1" applyFont="1" applyAlignment="1">
      <alignment vertical="center" wrapText="1"/>
    </xf>
    <xf numFmtId="49" fontId="2" fillId="0" borderId="10" xfId="0" applyNumberFormat="1" applyFont="1" applyBorder="1" applyAlignment="1">
      <alignment horizontal="center" vertical="center" wrapText="1"/>
    </xf>
    <xf numFmtId="49" fontId="2" fillId="0" borderId="0" xfId="0" applyNumberFormat="1" applyFont="1" applyAlignment="1">
      <alignment horizontal="center" vertical="center" wrapText="1"/>
    </xf>
    <xf numFmtId="49" fontId="0" fillId="0" borderId="10" xfId="0" applyNumberFormat="1" applyFont="1" applyBorder="1" applyAlignment="1">
      <alignment horizontal="left" vertical="center" wrapText="1"/>
    </xf>
    <xf numFmtId="0" fontId="19" fillId="0" borderId="0" xfId="0" applyNumberFormat="1" applyFont="1" applyAlignment="1">
      <alignment horizontal="center" vertical="center" wrapText="1"/>
    </xf>
    <xf numFmtId="0" fontId="2" fillId="6" borderId="3" xfId="0" applyNumberFormat="1" applyFont="1" applyFill="1" applyBorder="1" applyAlignment="1">
      <alignment horizontal="center" vertical="center" wrapText="1"/>
    </xf>
    <xf numFmtId="0" fontId="2" fillId="0" borderId="0" xfId="0" applyNumberFormat="1" applyFont="1" applyAlignment="1">
      <alignment horizontal="left" vertical="top" wrapText="1"/>
    </xf>
    <xf numFmtId="0" fontId="20" fillId="0" borderId="0" xfId="0" applyNumberFormat="1" applyFont="1" applyAlignment="1">
      <alignment horizontal="center" vertical="center" wrapText="1"/>
    </xf>
    <xf numFmtId="0" fontId="53" fillId="6" borderId="10" xfId="0" applyNumberFormat="1" applyFont="1" applyFill="1" applyBorder="1" applyAlignment="1">
      <alignment horizontal="center" vertical="center" wrapText="1"/>
    </xf>
    <xf numFmtId="0" fontId="2" fillId="0" borderId="8" xfId="0" applyNumberFormat="1" applyFont="1" applyBorder="1" applyAlignment="1">
      <alignment horizontal="center" vertical="center" wrapText="1"/>
    </xf>
    <xf numFmtId="0" fontId="2" fillId="0" borderId="0" xfId="0" applyNumberFormat="1" applyFont="1" applyAlignment="1">
      <alignment horizontal="center" vertical="center" wrapText="1"/>
    </xf>
    <xf numFmtId="0" fontId="2" fillId="0" borderId="0" xfId="0" applyNumberFormat="1" applyFont="1" applyAlignment="1">
      <alignment horizontal="right" vertical="center" wrapText="1"/>
    </xf>
    <xf numFmtId="0" fontId="0" fillId="0" borderId="3" xfId="0" applyNumberFormat="1" applyFont="1" applyBorder="1" applyAlignment="1">
      <alignment horizontal="center" vertical="center" wrapText="1"/>
    </xf>
    <xf numFmtId="49" fontId="2" fillId="0" borderId="3" xfId="0" applyNumberFormat="1" applyFont="1" applyBorder="1" applyAlignment="1">
      <alignment horizontal="left" vertical="center" wrapText="1"/>
    </xf>
    <xf numFmtId="0" fontId="2" fillId="6" borderId="3" xfId="0" applyNumberFormat="1" applyFont="1" applyFill="1" applyBorder="1" applyAlignment="1">
      <alignment horizontal="left" vertical="center" wrapText="1"/>
    </xf>
    <xf numFmtId="0" fontId="20" fillId="0" borderId="0" xfId="0" applyNumberFormat="1" applyFont="1" applyAlignment="1">
      <alignment horizontal="center" vertical="center"/>
    </xf>
    <xf numFmtId="49" fontId="2" fillId="11" borderId="3" xfId="0" applyNumberFormat="1" applyFont="1" applyFill="1" applyBorder="1" applyAlignment="1">
      <alignment horizontal="center" vertical="center" wrapText="1"/>
    </xf>
    <xf numFmtId="49" fontId="20" fillId="0" borderId="3" xfId="0" applyNumberFormat="1" applyFont="1" applyBorder="1" applyAlignment="1">
      <alignment horizontal="center" vertical="center" wrapText="1"/>
    </xf>
    <xf numFmtId="0" fontId="20" fillId="0" borderId="0" xfId="0" applyNumberFormat="1" applyFont="1" applyAlignment="1">
      <alignment horizontal="center" vertical="center" wrapText="1"/>
    </xf>
    <xf numFmtId="49" fontId="2" fillId="6" borderId="3" xfId="0" applyNumberFormat="1" applyFont="1" applyFill="1" applyBorder="1" applyAlignment="1">
      <alignment horizontal="center" vertical="center" wrapText="1"/>
    </xf>
    <xf numFmtId="0" fontId="20" fillId="0" borderId="0" xfId="0" applyNumberFormat="1" applyFont="1" applyAlignment="1">
      <alignment horizontal="center" vertical="center"/>
    </xf>
    <xf numFmtId="0" fontId="2" fillId="6" borderId="3" xfId="0" applyNumberFormat="1" applyFont="1" applyFill="1" applyBorder="1" applyAlignment="1">
      <alignment horizontal="left" vertical="center" wrapText="1"/>
    </xf>
    <xf numFmtId="49" fontId="2" fillId="10" borderId="3" xfId="0" applyNumberFormat="1" applyFont="1" applyFill="1" applyBorder="1" applyAlignment="1" applyProtection="1">
      <alignment horizontal="left" vertical="center" wrapText="1" indent="1"/>
      <protection locked="0"/>
    </xf>
    <xf numFmtId="0" fontId="2" fillId="0" borderId="0" xfId="0" applyNumberFormat="1" applyFont="1" applyAlignment="1">
      <alignment horizontal="center" vertical="center" wrapText="1"/>
    </xf>
    <xf numFmtId="49" fontId="2" fillId="11" borderId="3" xfId="0" applyNumberFormat="1" applyFont="1" applyFill="1" applyBorder="1" applyAlignment="1">
      <alignment horizontal="center" vertical="center" wrapText="1"/>
    </xf>
    <xf numFmtId="49" fontId="2" fillId="0" borderId="10" xfId="0" applyNumberFormat="1" applyFont="1" applyBorder="1" applyAlignment="1">
      <alignment horizontal="center" vertical="center" wrapText="1"/>
    </xf>
    <xf numFmtId="49" fontId="2" fillId="0" borderId="0" xfId="0" applyNumberFormat="1" applyFont="1" applyAlignment="1">
      <alignment horizontal="center" vertical="center" wrapText="1"/>
    </xf>
    <xf numFmtId="49" fontId="0" fillId="0" borderId="10" xfId="0" applyNumberFormat="1" applyFont="1" applyBorder="1" applyAlignment="1">
      <alignment horizontal="left" vertical="center" wrapText="1"/>
    </xf>
    <xf numFmtId="49" fontId="2" fillId="6" borderId="3" xfId="0" applyNumberFormat="1" applyFont="1" applyFill="1" applyBorder="1" applyAlignment="1">
      <alignment horizontal="center" vertical="center" wrapText="1"/>
    </xf>
    <xf numFmtId="0" fontId="20" fillId="6" borderId="0" xfId="0" applyNumberFormat="1" applyFont="1" applyFill="1" applyAlignment="1">
      <alignment horizontal="center" vertical="center" wrapText="1"/>
    </xf>
    <xf numFmtId="0" fontId="0" fillId="6" borderId="3" xfId="0" applyNumberFormat="1" applyFont="1" applyFill="1" applyBorder="1" applyAlignment="1">
      <alignment horizontal="center" vertical="center" wrapText="1"/>
    </xf>
    <xf numFmtId="0" fontId="2" fillId="6" borderId="15" xfId="0" applyNumberFormat="1" applyFont="1" applyFill="1" applyBorder="1" applyAlignment="1">
      <alignment horizontal="center" vertical="center" wrapText="1"/>
    </xf>
    <xf numFmtId="0" fontId="19" fillId="0" borderId="0" xfId="0" applyNumberFormat="1" applyFont="1" applyAlignment="1">
      <alignment horizontal="center" vertical="center" wrapText="1"/>
    </xf>
    <xf numFmtId="0" fontId="2" fillId="6" borderId="3" xfId="0" applyNumberFormat="1" applyFont="1" applyFill="1" applyBorder="1" applyAlignment="1">
      <alignment horizontal="center" vertical="center" wrapText="1"/>
    </xf>
    <xf numFmtId="0" fontId="2" fillId="0" borderId="0" xfId="0" applyNumberFormat="1" applyFont="1" applyAlignment="1">
      <alignment horizontal="left" vertical="top" wrapText="1"/>
    </xf>
    <xf numFmtId="0" fontId="20" fillId="0" borderId="0" xfId="0" applyNumberFormat="1" applyFont="1" applyAlignment="1">
      <alignment horizontal="center" vertical="center" wrapText="1"/>
    </xf>
    <xf numFmtId="0" fontId="53" fillId="6" borderId="10" xfId="0" applyNumberFormat="1" applyFont="1" applyFill="1" applyBorder="1" applyAlignment="1">
      <alignment horizontal="center" vertical="center" wrapText="1"/>
    </xf>
    <xf numFmtId="0" fontId="2" fillId="0" borderId="8" xfId="0" applyNumberFormat="1" applyFont="1" applyBorder="1" applyAlignment="1">
      <alignment horizontal="center" vertical="center" wrapText="1"/>
    </xf>
    <xf numFmtId="0" fontId="2" fillId="0" borderId="3" xfId="0" applyNumberFormat="1" applyFont="1" applyBorder="1" applyAlignment="1">
      <alignment horizontal="center" vertical="center" wrapText="1"/>
    </xf>
    <xf numFmtId="49" fontId="20" fillId="0" borderId="3" xfId="0" applyNumberFormat="1" applyFont="1" applyBorder="1" applyAlignment="1">
      <alignment horizontal="center" vertical="center" wrapText="1"/>
    </xf>
    <xf numFmtId="49" fontId="2" fillId="6" borderId="3" xfId="0" applyNumberFormat="1" applyFont="1" applyFill="1" applyBorder="1" applyAlignment="1">
      <alignment horizontal="center" vertical="center" wrapText="1"/>
    </xf>
    <xf numFmtId="0" fontId="2" fillId="0" borderId="0" xfId="0" applyNumberFormat="1" applyFont="1" applyAlignment="1">
      <alignment horizontal="center" vertical="center" wrapText="1"/>
    </xf>
    <xf numFmtId="0" fontId="2" fillId="0" borderId="0" xfId="0" applyNumberFormat="1" applyFont="1" applyAlignment="1">
      <alignment horizontal="right" vertical="center" wrapText="1"/>
    </xf>
    <xf numFmtId="0" fontId="0" fillId="0" borderId="3" xfId="0" applyNumberFormat="1" applyFont="1" applyBorder="1" applyAlignment="1">
      <alignment horizontal="center" vertical="center" wrapText="1"/>
    </xf>
    <xf numFmtId="49" fontId="2" fillId="0" borderId="3" xfId="0" applyNumberFormat="1" applyFont="1" applyBorder="1" applyAlignment="1">
      <alignment horizontal="left" vertical="center" wrapText="1"/>
    </xf>
    <xf numFmtId="49" fontId="2" fillId="11" borderId="3" xfId="0" applyNumberFormat="1" applyFont="1" applyFill="1" applyBorder="1" applyAlignment="1">
      <alignment horizontal="left" vertical="center" wrapText="1"/>
    </xf>
    <xf numFmtId="49" fontId="2" fillId="10" borderId="3" xfId="0" applyNumberFormat="1" applyFont="1" applyFill="1" applyBorder="1" applyAlignment="1" applyProtection="1">
      <alignment horizontal="left" vertical="center" wrapText="1" indent="1"/>
      <protection locked="0"/>
    </xf>
    <xf numFmtId="0" fontId="2" fillId="6" borderId="3" xfId="0" applyNumberFormat="1" applyFont="1" applyFill="1" applyBorder="1" applyAlignment="1">
      <alignment horizontal="left" vertical="center" wrapText="1"/>
    </xf>
    <xf numFmtId="0" fontId="20" fillId="0" borderId="0" xfId="0" applyNumberFormat="1" applyFont="1" applyAlignment="1">
      <alignment horizontal="center" vertical="center"/>
    </xf>
    <xf numFmtId="0" fontId="8" fillId="0" borderId="0" xfId="0" applyNumberFormat="1" applyFont="1" applyAlignment="1">
      <alignment horizontal="center" vertical="center" wrapText="1"/>
    </xf>
    <xf numFmtId="169" fontId="2" fillId="8" borderId="6" xfId="0" applyNumberFormat="1" applyFont="1" applyFill="1" applyBorder="1" applyAlignment="1">
      <alignment horizontal="right" vertical="center" wrapText="1"/>
    </xf>
    <xf numFmtId="0" fontId="85" fillId="0" borderId="0" xfId="0" applyNumberFormat="1" applyFont="1" applyAlignment="1">
      <alignment vertical="center" wrapText="1"/>
    </xf>
    <xf numFmtId="0" fontId="85" fillId="6" borderId="0" xfId="0" applyNumberFormat="1" applyFont="1" applyFill="1" applyAlignment="1">
      <alignment horizontal="center" vertical="center" wrapText="1"/>
    </xf>
    <xf numFmtId="0" fontId="20" fillId="6" borderId="3" xfId="0" applyNumberFormat="1" applyFont="1" applyFill="1" applyBorder="1" applyAlignment="1">
      <alignment horizontal="left" vertical="center" wrapText="1" indent="3"/>
    </xf>
    <xf numFmtId="49" fontId="12" fillId="8" borderId="19" xfId="0" applyNumberFormat="1" applyFont="1" applyFill="1" applyBorder="1" applyAlignment="1">
      <alignment horizontal="left" vertical="center"/>
    </xf>
    <xf numFmtId="0" fontId="85" fillId="0" borderId="0" xfId="0" applyNumberFormat="1" applyFont="1" applyAlignment="1">
      <alignment horizontal="center" vertical="center" wrapText="1"/>
    </xf>
    <xf numFmtId="49" fontId="20" fillId="0" borderId="0" xfId="0" applyNumberFormat="1" applyFont="1" applyAlignment="1">
      <alignment horizontal="left" vertical="center" wrapText="1" indent="1"/>
    </xf>
    <xf numFmtId="0" fontId="20" fillId="0" borderId="0" xfId="0" applyNumberFormat="1" applyFont="1" applyAlignment="1">
      <alignment horizontal="left" vertical="center" wrapText="1" indent="4"/>
    </xf>
    <xf numFmtId="0" fontId="20" fillId="0" borderId="0" xfId="0" applyNumberFormat="1" applyFont="1" applyAlignment="1">
      <alignment horizontal="left" vertical="center" wrapText="1" indent="1"/>
    </xf>
    <xf numFmtId="49" fontId="2" fillId="8" borderId="5" xfId="0" applyNumberFormat="1" applyFont="1" applyFill="1" applyBorder="1" applyAlignment="1">
      <alignment horizontal="center" vertical="center" wrapText="1"/>
    </xf>
    <xf numFmtId="0" fontId="20" fillId="0" borderId="15" xfId="0" applyNumberFormat="1" applyFont="1" applyBorder="1" applyAlignment="1">
      <alignment horizontal="left" vertical="center" wrapText="1" indent="1"/>
    </xf>
    <xf numFmtId="0" fontId="19" fillId="0" borderId="0" xfId="0" applyNumberFormat="1" applyFont="1" applyAlignment="1">
      <alignment horizontal="left" vertical="center"/>
    </xf>
    <xf numFmtId="49" fontId="19" fillId="0" borderId="0" xfId="0" applyNumberFormat="1" applyFont="1" applyAlignment="1">
      <alignment horizontal="left" vertical="center"/>
    </xf>
    <xf numFmtId="0" fontId="19" fillId="0" borderId="0" xfId="0" applyNumberFormat="1" applyFont="1" applyAlignment="1">
      <alignment horizontal="left" vertical="center"/>
    </xf>
    <xf numFmtId="0" fontId="42" fillId="0" borderId="0" xfId="0" applyNumberFormat="1" applyFont="1" applyAlignment="1">
      <alignment horizontal="left" vertical="center"/>
    </xf>
    <xf numFmtId="0" fontId="20" fillId="0" borderId="0" xfId="0" applyNumberFormat="1" applyFont="1" applyAlignment="1">
      <alignment horizontal="left" vertical="center"/>
    </xf>
    <xf numFmtId="49" fontId="2" fillId="0" borderId="0" xfId="0" applyNumberFormat="1" applyFont="1" applyAlignment="1">
      <alignment horizontal="center" vertical="center" wrapText="1"/>
    </xf>
    <xf numFmtId="49" fontId="2" fillId="0" borderId="10" xfId="0" applyNumberFormat="1" applyFont="1" applyBorder="1" applyAlignment="1">
      <alignment horizontal="center" vertical="center" wrapText="1"/>
    </xf>
    <xf numFmtId="49" fontId="2" fillId="0" borderId="10" xfId="0" applyNumberFormat="1" applyFont="1" applyBorder="1" applyAlignment="1">
      <alignment horizontal="left" vertical="center" wrapText="1"/>
    </xf>
    <xf numFmtId="0" fontId="8" fillId="0" borderId="0" xfId="0" applyNumberFormat="1" applyFont="1" applyAlignment="1">
      <alignment horizontal="center" vertical="center" wrapText="1"/>
    </xf>
    <xf numFmtId="0" fontId="8" fillId="6" borderId="0" xfId="0" applyNumberFormat="1" applyFont="1" applyFill="1" applyAlignment="1">
      <alignment horizontal="center" vertical="center" wrapText="1"/>
    </xf>
    <xf numFmtId="49" fontId="19" fillId="0" borderId="0" xfId="0" applyNumberFormat="1" applyFont="1" applyAlignment="1">
      <alignment horizontal="left" vertical="center"/>
    </xf>
    <xf numFmtId="49" fontId="19" fillId="0" borderId="0" xfId="0" applyNumberFormat="1" applyFont="1" applyAlignment="1">
      <alignment horizontal="left" vertical="center"/>
    </xf>
    <xf numFmtId="49" fontId="19" fillId="0" borderId="0" xfId="0" applyNumberFormat="1" applyFont="1" applyAlignment="1">
      <alignment horizontal="left" vertical="top"/>
    </xf>
    <xf numFmtId="49" fontId="2" fillId="6" borderId="3" xfId="0" applyNumberFormat="1" applyFont="1" applyFill="1" applyBorder="1" applyAlignment="1">
      <alignment horizontal="center" vertical="center"/>
    </xf>
    <xf numFmtId="0" fontId="2" fillId="0" borderId="3" xfId="0" applyNumberFormat="1" applyFont="1" applyBorder="1" applyAlignment="1">
      <alignment horizontal="center" vertical="center" wrapText="1"/>
    </xf>
    <xf numFmtId="0" fontId="2" fillId="6" borderId="3" xfId="0" applyNumberFormat="1" applyFont="1" applyFill="1" applyBorder="1" applyAlignment="1">
      <alignment horizontal="left" vertical="center" wrapText="1" indent="1"/>
    </xf>
    <xf numFmtId="49" fontId="2" fillId="0" borderId="3" xfId="0" applyNumberFormat="1" applyFont="1" applyBorder="1" applyAlignment="1">
      <alignment horizontal="center" vertical="center"/>
    </xf>
    <xf numFmtId="0" fontId="2" fillId="0" borderId="3" xfId="0" applyNumberFormat="1" applyFont="1" applyBorder="1" applyAlignment="1">
      <alignment horizontal="left" vertical="center" wrapText="1" indent="1"/>
    </xf>
    <xf numFmtId="0" fontId="2" fillId="0" borderId="3" xfId="0" applyNumberFormat="1" applyFont="1" applyBorder="1" applyAlignment="1">
      <alignment vertical="center" wrapText="1"/>
    </xf>
    <xf numFmtId="49" fontId="2" fillId="10" borderId="3" xfId="0" applyNumberFormat="1" applyFont="1" applyFill="1" applyBorder="1" applyAlignment="1" applyProtection="1">
      <alignment horizontal="left" vertical="center" wrapText="1"/>
      <protection locked="0"/>
    </xf>
    <xf numFmtId="0" fontId="2" fillId="6" borderId="3" xfId="0" applyNumberFormat="1" applyFont="1" applyFill="1" applyBorder="1" applyAlignment="1">
      <alignment horizontal="left" vertical="center" wrapText="1"/>
    </xf>
    <xf numFmtId="0" fontId="20" fillId="6" borderId="3" xfId="0" applyNumberFormat="1" applyFont="1" applyFill="1" applyBorder="1" applyAlignment="1">
      <alignment horizontal="center" vertical="center"/>
    </xf>
    <xf numFmtId="0" fontId="46" fillId="6" borderId="0" xfId="0" applyNumberFormat="1" applyFont="1" applyFill="1" applyAlignment="1">
      <alignment vertical="center" wrapText="1"/>
    </xf>
    <xf numFmtId="0" fontId="40" fillId="6" borderId="0" xfId="0" applyNumberFormat="1" applyFont="1" applyFill="1" applyAlignment="1"/>
    <xf numFmtId="49" fontId="2" fillId="7" borderId="3" xfId="0" applyNumberFormat="1" applyFont="1" applyFill="1" applyBorder="1" applyAlignment="1" applyProtection="1">
      <alignment horizontal="left" vertical="center" wrapText="1"/>
      <protection locked="0"/>
    </xf>
    <xf numFmtId="0" fontId="57" fillId="6" borderId="0" xfId="0" applyNumberFormat="1" applyFont="1" applyFill="1" applyAlignment="1"/>
    <xf numFmtId="0" fontId="41" fillId="6" borderId="0" xfId="0" applyNumberFormat="1" applyFont="1" applyFill="1" applyAlignment="1"/>
    <xf numFmtId="14" fontId="2" fillId="10" borderId="14" xfId="0" applyNumberFormat="1" applyFont="1" applyFill="1" applyBorder="1" applyAlignment="1" applyProtection="1">
      <alignment horizontal="left" vertical="center" wrapText="1" indent="1"/>
      <protection locked="0"/>
    </xf>
    <xf numFmtId="0" fontId="86" fillId="0" borderId="0" xfId="0" applyNumberFormat="1" applyFont="1" applyAlignment="1">
      <alignment vertical="center"/>
    </xf>
    <xf numFmtId="0" fontId="86" fillId="0" borderId="0" xfId="0" applyNumberFormat="1" applyFont="1" applyAlignment="1">
      <alignment vertical="center" wrapText="1"/>
    </xf>
    <xf numFmtId="168" fontId="2" fillId="0" borderId="14" xfId="0" applyNumberFormat="1" applyFont="1" applyBorder="1" applyAlignment="1">
      <alignment horizontal="center" vertical="center" wrapText="1"/>
    </xf>
    <xf numFmtId="14" fontId="2" fillId="10" borderId="3" xfId="0" applyNumberFormat="1" applyFont="1" applyFill="1" applyBorder="1" applyAlignment="1" applyProtection="1">
      <alignment horizontal="left" vertical="center" wrapText="1" indent="1"/>
      <protection locked="0"/>
    </xf>
    <xf numFmtId="0" fontId="2" fillId="5" borderId="14" xfId="0" applyNumberFormat="1" applyFont="1" applyFill="1" applyBorder="1" applyAlignment="1">
      <alignment horizontal="left" vertical="center" wrapText="1" indent="1"/>
    </xf>
    <xf numFmtId="168" fontId="2" fillId="0" borderId="8" xfId="0" applyNumberFormat="1" applyFont="1" applyBorder="1" applyAlignment="1">
      <alignment horizontal="center" vertical="center" wrapText="1"/>
    </xf>
    <xf numFmtId="49" fontId="22" fillId="8" borderId="18" xfId="0" applyNumberFormat="1" applyFont="1" applyFill="1" applyBorder="1" applyAlignment="1">
      <alignment horizontal="right" vertical="center" wrapText="1"/>
    </xf>
    <xf numFmtId="49" fontId="0" fillId="8" borderId="19" xfId="0" applyNumberFormat="1" applyFont="1" applyFill="1" applyBorder="1" applyAlignment="1">
      <alignment horizontal="right" vertical="center" wrapText="1"/>
    </xf>
    <xf numFmtId="49" fontId="0" fillId="8" borderId="3" xfId="0" applyNumberFormat="1" applyFont="1" applyFill="1" applyBorder="1" applyAlignment="1">
      <alignment horizontal="right" vertical="center" wrapText="1"/>
    </xf>
    <xf numFmtId="49" fontId="22" fillId="8" borderId="19" xfId="0" applyNumberFormat="1" applyFont="1" applyFill="1" applyBorder="1" applyAlignment="1">
      <alignment horizontal="right" vertical="center" wrapText="1"/>
    </xf>
    <xf numFmtId="49" fontId="26" fillId="10" borderId="14" xfId="0" applyNumberFormat="1" applyFont="1" applyFill="1" applyBorder="1" applyAlignment="1" applyProtection="1">
      <alignment horizontal="left" vertical="center" wrapText="1"/>
      <protection locked="0"/>
    </xf>
    <xf numFmtId="49" fontId="26" fillId="10" borderId="18" xfId="0" applyNumberFormat="1" applyFont="1" applyFill="1" applyBorder="1" applyAlignment="1" applyProtection="1">
      <alignment horizontal="left" vertical="center" wrapText="1"/>
      <protection locked="0"/>
    </xf>
    <xf numFmtId="49" fontId="26" fillId="8" borderId="19" xfId="0" applyNumberFormat="1" applyFont="1" applyFill="1" applyBorder="1" applyAlignment="1">
      <alignment horizontal="left" vertical="center" wrapText="1"/>
    </xf>
    <xf numFmtId="49" fontId="26" fillId="8" borderId="14" xfId="0" applyNumberFormat="1" applyFont="1" applyFill="1" applyBorder="1" applyAlignment="1">
      <alignment horizontal="left" vertical="center" wrapText="1"/>
    </xf>
    <xf numFmtId="0" fontId="20" fillId="0" borderId="19" xfId="0" applyNumberFormat="1" applyFont="1" applyBorder="1" applyAlignment="1">
      <alignment horizontal="center" vertical="center" wrapText="1"/>
    </xf>
    <xf numFmtId="0" fontId="20" fillId="0" borderId="0" xfId="0" applyNumberFormat="1" applyFont="1" applyAlignment="1">
      <alignment horizontal="center" vertical="center"/>
    </xf>
    <xf numFmtId="0" fontId="20" fillId="0" borderId="0" xfId="0" applyNumberFormat="1" applyFont="1" applyAlignment="1">
      <alignment horizontal="center" vertical="center"/>
    </xf>
    <xf numFmtId="0" fontId="28" fillId="0" borderId="0" xfId="0" applyNumberFormat="1" applyFont="1" applyAlignment="1">
      <alignment horizontal="center" vertical="center"/>
    </xf>
    <xf numFmtId="0" fontId="14" fillId="0" borderId="0" xfId="0" applyNumberFormat="1" applyFont="1" applyAlignment="1">
      <alignment horizontal="center" vertical="center" wrapText="1"/>
    </xf>
    <xf numFmtId="14" fontId="2" fillId="11" borderId="3" xfId="0" applyNumberFormat="1" applyFont="1" applyFill="1" applyBorder="1" applyAlignment="1">
      <alignment horizontal="left" vertical="center" wrapText="1"/>
    </xf>
    <xf numFmtId="168" fontId="2" fillId="0" borderId="28" xfId="0" applyNumberFormat="1" applyFont="1" applyBorder="1" applyAlignment="1">
      <alignment horizontal="center" vertical="center" wrapText="1"/>
    </xf>
    <xf numFmtId="0" fontId="2" fillId="10" borderId="3" xfId="0" applyNumberFormat="1" applyFont="1" applyFill="1" applyBorder="1" applyAlignment="1" applyProtection="1">
      <alignment horizontal="center" vertical="center" wrapText="1"/>
      <protection locked="0"/>
    </xf>
    <xf numFmtId="0" fontId="19" fillId="6" borderId="0" xfId="0" applyNumberFormat="1" applyFont="1" applyFill="1" applyAlignment="1"/>
    <xf numFmtId="168" fontId="17" fillId="0" borderId="49" xfId="0" applyNumberFormat="1" applyFont="1" applyBorder="1" applyAlignment="1">
      <alignment horizontal="center" vertical="center" wrapText="1"/>
    </xf>
    <xf numFmtId="168" fontId="17" fillId="0" borderId="49" xfId="0" applyNumberFormat="1" applyFont="1" applyBorder="1" applyAlignment="1">
      <alignment horizontal="center" vertical="center" wrapText="1"/>
    </xf>
    <xf numFmtId="49" fontId="26" fillId="10" borderId="19" xfId="0" applyNumberFormat="1" applyFont="1" applyFill="1" applyBorder="1" applyAlignment="1" applyProtection="1">
      <alignment horizontal="left" vertical="center" wrapText="1"/>
      <protection locked="0"/>
    </xf>
    <xf numFmtId="0" fontId="2" fillId="0" borderId="6" xfId="0" applyNumberFormat="1" applyFont="1" applyBorder="1" applyAlignment="1">
      <alignment horizontal="right" vertical="center" wrapText="1" indent="1"/>
    </xf>
    <xf numFmtId="0" fontId="2" fillId="5" borderId="5" xfId="0" applyNumberFormat="1" applyFont="1" applyFill="1" applyBorder="1" applyAlignment="1">
      <alignment horizontal="left" vertical="top" wrapText="1"/>
    </xf>
    <xf numFmtId="49" fontId="20" fillId="0" borderId="0" xfId="0" applyNumberFormat="1" applyFont="1" applyAlignment="1">
      <alignment horizontal="center" vertical="center"/>
    </xf>
    <xf numFmtId="49" fontId="40" fillId="0" borderId="0" xfId="0" applyNumberFormat="1" applyFont="1">
      <alignment vertical="top"/>
    </xf>
    <xf numFmtId="0" fontId="14" fillId="0" borderId="0" xfId="0" applyNumberFormat="1" applyFont="1" applyAlignment="1">
      <alignment vertical="center"/>
    </xf>
    <xf numFmtId="0" fontId="2" fillId="0" borderId="27" xfId="0" applyNumberFormat="1" applyFont="1" applyBorder="1" applyAlignment="1">
      <alignment horizontal="center" vertical="center" wrapText="1"/>
    </xf>
    <xf numFmtId="0" fontId="2" fillId="0" borderId="28" xfId="0" applyNumberFormat="1" applyFont="1" applyBorder="1" applyAlignment="1">
      <alignment horizontal="center" vertical="center" wrapText="1"/>
    </xf>
    <xf numFmtId="0" fontId="2" fillId="0" borderId="8" xfId="0" applyNumberFormat="1" applyFont="1" applyBorder="1" applyAlignment="1">
      <alignment horizontal="center" vertical="center" wrapText="1"/>
    </xf>
    <xf numFmtId="0" fontId="2" fillId="0" borderId="13" xfId="0" applyNumberFormat="1" applyFont="1" applyBorder="1" applyAlignment="1">
      <alignment horizontal="center" vertical="center" wrapText="1"/>
    </xf>
    <xf numFmtId="49" fontId="2" fillId="0" borderId="27" xfId="0" applyNumberFormat="1" applyFont="1" applyBorder="1" applyAlignment="1">
      <alignment horizontal="left" vertical="center" wrapText="1"/>
    </xf>
    <xf numFmtId="49" fontId="2" fillId="0" borderId="27" xfId="0" applyNumberFormat="1" applyFont="1" applyBorder="1" applyAlignment="1">
      <alignment horizontal="center" vertical="center" wrapText="1"/>
    </xf>
    <xf numFmtId="49" fontId="2" fillId="0" borderId="8" xfId="0" applyNumberFormat="1" applyFont="1" applyBorder="1" applyAlignment="1">
      <alignment horizontal="center" vertical="center" wrapText="1"/>
    </xf>
    <xf numFmtId="0" fontId="2" fillId="0" borderId="27" xfId="0" applyNumberFormat="1" applyFont="1" applyBorder="1" applyAlignment="1">
      <alignment horizontal="left" vertical="center" wrapText="1"/>
    </xf>
    <xf numFmtId="49" fontId="2" fillId="0" borderId="27" xfId="0" applyNumberFormat="1" applyFont="1" applyBorder="1" applyAlignment="1">
      <alignment vertical="center" wrapText="1"/>
    </xf>
    <xf numFmtId="0" fontId="2" fillId="0" borderId="14" xfId="0" applyNumberFormat="1" applyFont="1" applyBorder="1" applyAlignment="1">
      <alignment horizontal="left" vertical="center" wrapText="1"/>
    </xf>
    <xf numFmtId="0" fontId="12" fillId="0" borderId="14" xfId="0" applyNumberFormat="1" applyFont="1" applyBorder="1" applyAlignment="1">
      <alignment horizontal="left" vertical="center"/>
    </xf>
    <xf numFmtId="0" fontId="12" fillId="8" borderId="5" xfId="0" applyNumberFormat="1" applyFont="1" applyFill="1" applyBorder="1" applyAlignment="1">
      <alignment horizontal="left" vertical="center"/>
    </xf>
    <xf numFmtId="0" fontId="12" fillId="0" borderId="27" xfId="0" applyNumberFormat="1" applyFont="1" applyBorder="1" applyAlignment="1">
      <alignment horizontal="left" vertical="center"/>
    </xf>
    <xf numFmtId="0" fontId="12" fillId="8" borderId="28" xfId="0" applyNumberFormat="1" applyFont="1" applyFill="1" applyBorder="1" applyAlignment="1">
      <alignment horizontal="left" vertical="center"/>
    </xf>
    <xf numFmtId="49" fontId="40" fillId="8" borderId="5" xfId="0" applyNumberFormat="1" applyFont="1" applyFill="1" applyBorder="1">
      <alignment vertical="top"/>
    </xf>
    <xf numFmtId="49" fontId="40" fillId="8" borderId="6" xfId="0" applyNumberFormat="1" applyFont="1" applyFill="1" applyBorder="1">
      <alignment vertical="top"/>
    </xf>
    <xf numFmtId="49" fontId="2" fillId="11" borderId="8" xfId="0" applyNumberFormat="1" applyFont="1" applyFill="1" applyBorder="1" applyAlignment="1">
      <alignment vertical="center" wrapText="1"/>
    </xf>
    <xf numFmtId="0" fontId="2" fillId="0" borderId="28" xfId="0" applyNumberFormat="1" applyFont="1" applyBorder="1" applyAlignment="1">
      <alignment horizontal="center" vertical="center" wrapText="1"/>
    </xf>
    <xf numFmtId="49" fontId="19" fillId="0" borderId="0" xfId="0" applyNumberFormat="1" applyFont="1" applyAlignment="1">
      <alignment horizontal="center" vertical="center"/>
    </xf>
    <xf numFmtId="0" fontId="87" fillId="0" borderId="0" xfId="0" applyNumberFormat="1" applyFont="1" applyAlignment="1">
      <alignment vertical="center" wrapText="1"/>
    </xf>
    <xf numFmtId="0" fontId="88" fillId="0" borderId="0" xfId="0" applyNumberFormat="1" applyFont="1" applyAlignment="1">
      <alignment vertical="center" wrapText="1"/>
    </xf>
    <xf numFmtId="0" fontId="2" fillId="0" borderId="8" xfId="0" applyNumberFormat="1" applyFont="1" applyBorder="1" applyAlignment="1">
      <alignment horizontal="center" vertical="center" wrapText="1"/>
    </xf>
    <xf numFmtId="49" fontId="2" fillId="0" borderId="8" xfId="0" applyNumberFormat="1" applyFont="1" applyBorder="1" applyAlignment="1">
      <alignment horizontal="left" vertical="center" wrapText="1"/>
    </xf>
    <xf numFmtId="49" fontId="2" fillId="0" borderId="8" xfId="0" applyNumberFormat="1" applyFont="1" applyBorder="1" applyAlignment="1">
      <alignment horizontal="left" vertical="center" wrapText="1"/>
    </xf>
    <xf numFmtId="49" fontId="2" fillId="0" borderId="8" xfId="0" applyNumberFormat="1" applyFont="1" applyBorder="1" applyAlignment="1">
      <alignment horizontal="center" vertical="center" wrapText="1"/>
    </xf>
    <xf numFmtId="0" fontId="2" fillId="0" borderId="8" xfId="0" applyNumberFormat="1" applyFont="1" applyBorder="1" applyAlignment="1">
      <alignment horizontal="left" vertical="center" wrapText="1"/>
    </xf>
    <xf numFmtId="0" fontId="2" fillId="0" borderId="0" xfId="0" applyNumberFormat="1" applyFont="1" applyAlignment="1">
      <alignment horizontal="left" vertical="center" wrapText="1"/>
    </xf>
    <xf numFmtId="49" fontId="2" fillId="0" borderId="10" xfId="0" applyNumberFormat="1" applyFont="1" applyBorder="1" applyAlignment="1">
      <alignment vertical="center" wrapText="1"/>
    </xf>
    <xf numFmtId="49" fontId="2" fillId="0" borderId="10" xfId="0" applyNumberFormat="1" applyFont="1" applyBorder="1" applyAlignment="1">
      <alignment horizontal="left" vertical="center" wrapText="1"/>
    </xf>
    <xf numFmtId="49" fontId="8" fillId="0" borderId="10" xfId="0" applyNumberFormat="1" applyFont="1" applyBorder="1" applyAlignment="1">
      <alignment vertical="center" wrapText="1"/>
    </xf>
    <xf numFmtId="49" fontId="2" fillId="0" borderId="10" xfId="0" applyNumberFormat="1" applyFont="1" applyBorder="1" applyAlignment="1">
      <alignment horizontal="center" vertical="center" wrapText="1"/>
    </xf>
    <xf numFmtId="0" fontId="2" fillId="0" borderId="10" xfId="0" applyNumberFormat="1" applyFont="1" applyBorder="1" applyAlignment="1">
      <alignment horizontal="left" vertical="center" wrapText="1"/>
    </xf>
    <xf numFmtId="49" fontId="2" fillId="0" borderId="10" xfId="0" applyNumberFormat="1" applyFont="1" applyBorder="1" applyAlignment="1">
      <alignment vertical="center" wrapText="1"/>
    </xf>
    <xf numFmtId="49" fontId="2" fillId="0" borderId="0" xfId="0" applyNumberFormat="1" applyFont="1" applyAlignment="1">
      <alignment vertical="center" wrapText="1"/>
    </xf>
    <xf numFmtId="49" fontId="2" fillId="0" borderId="0" xfId="0" applyNumberFormat="1" applyFont="1" applyAlignment="1">
      <alignment horizontal="left" vertical="center" wrapText="1"/>
    </xf>
    <xf numFmtId="49" fontId="8" fillId="0" borderId="0" xfId="0" applyNumberFormat="1" applyFont="1" applyAlignment="1">
      <alignment vertical="center" wrapText="1"/>
    </xf>
    <xf numFmtId="49" fontId="2" fillId="0" borderId="0" xfId="0" applyNumberFormat="1" applyFont="1" applyAlignment="1">
      <alignment horizontal="center" vertical="center" wrapText="1"/>
    </xf>
    <xf numFmtId="0" fontId="2" fillId="0" borderId="0" xfId="0" applyNumberFormat="1" applyFont="1" applyAlignment="1">
      <alignment horizontal="left" vertical="center" wrapText="1"/>
    </xf>
    <xf numFmtId="0" fontId="12" fillId="0" borderId="0" xfId="0" applyNumberFormat="1" applyFont="1" applyAlignment="1">
      <alignment horizontal="left" vertical="center"/>
    </xf>
    <xf numFmtId="49" fontId="8" fillId="0" borderId="0" xfId="0" applyNumberFormat="1" applyFont="1" applyAlignment="1">
      <alignment horizontal="center" vertical="center" wrapText="1"/>
    </xf>
    <xf numFmtId="0" fontId="12" fillId="0" borderId="0" xfId="0" applyNumberFormat="1" applyFont="1" applyAlignment="1">
      <alignment vertical="center"/>
    </xf>
    <xf numFmtId="49" fontId="40" fillId="0" borderId="18" xfId="0" applyNumberFormat="1" applyFont="1" applyBorder="1">
      <alignment vertical="top"/>
    </xf>
    <xf numFmtId="49" fontId="2" fillId="0" borderId="28" xfId="0" applyNumberFormat="1" applyFont="1" applyBorder="1" applyAlignment="1">
      <alignment vertical="center" wrapText="1"/>
    </xf>
    <xf numFmtId="49" fontId="2" fillId="0" borderId="13" xfId="0" applyNumberFormat="1" applyFont="1" applyBorder="1" applyAlignment="1">
      <alignment vertical="center" wrapText="1"/>
    </xf>
    <xf numFmtId="0" fontId="12" fillId="0" borderId="13" xfId="0" applyNumberFormat="1" applyFont="1" applyBorder="1" applyAlignment="1">
      <alignment horizontal="left" vertical="center"/>
    </xf>
    <xf numFmtId="49" fontId="40" fillId="0" borderId="19" xfId="0" applyNumberFormat="1" applyFont="1" applyBorder="1">
      <alignment vertical="top"/>
    </xf>
    <xf numFmtId="49" fontId="2" fillId="0" borderId="27" xfId="0" applyNumberFormat="1" applyFont="1" applyBorder="1" applyAlignment="1">
      <alignment horizontal="center" vertical="center" wrapText="1"/>
    </xf>
    <xf numFmtId="0" fontId="12" fillId="8" borderId="28" xfId="0" applyNumberFormat="1" applyFont="1" applyFill="1" applyBorder="1" applyAlignment="1">
      <alignment vertical="center"/>
    </xf>
    <xf numFmtId="49" fontId="0" fillId="0" borderId="3" xfId="0" applyNumberFormat="1" applyFont="1" applyBorder="1" applyAlignment="1">
      <alignment horizontal="left" vertical="center" wrapText="1" indent="1"/>
    </xf>
    <xf numFmtId="0" fontId="2" fillId="0" borderId="0" xfId="0" applyNumberFormat="1" applyFont="1" applyAlignment="1">
      <alignment vertical="center" wrapText="1"/>
    </xf>
    <xf numFmtId="0" fontId="2" fillId="0" borderId="0" xfId="0" applyNumberFormat="1" applyFont="1" applyAlignment="1">
      <alignment horizontal="left" vertical="center" wrapText="1"/>
    </xf>
    <xf numFmtId="0" fontId="31" fillId="0" borderId="0" xfId="0" applyNumberFormat="1" applyFont="1" applyAlignment="1">
      <alignment vertical="center" wrapText="1"/>
    </xf>
    <xf numFmtId="0" fontId="33" fillId="0" borderId="0" xfId="0" applyNumberFormat="1" applyFont="1" applyAlignment="1">
      <alignment vertical="center" wrapText="1"/>
    </xf>
    <xf numFmtId="0" fontId="61" fillId="0" borderId="0" xfId="0" applyNumberFormat="1" applyFont="1" applyAlignment="1">
      <alignment vertical="center" wrapText="1"/>
    </xf>
    <xf numFmtId="0" fontId="20" fillId="0" borderId="0" xfId="0" applyNumberFormat="1" applyFont="1" applyAlignment="1">
      <alignment vertical="center" wrapText="1"/>
    </xf>
    <xf numFmtId="0" fontId="37" fillId="0" borderId="0" xfId="0" applyNumberFormat="1" applyFont="1" applyAlignment="1">
      <alignment vertical="center" wrapText="1"/>
    </xf>
    <xf numFmtId="49" fontId="2" fillId="0" borderId="3" xfId="0" applyNumberFormat="1" applyFont="1" applyBorder="1" applyAlignment="1">
      <alignment horizontal="center" vertical="center" wrapText="1"/>
    </xf>
    <xf numFmtId="0" fontId="8" fillId="6" borderId="3" xfId="0" applyNumberFormat="1" applyFont="1" applyFill="1" applyBorder="1" applyAlignment="1">
      <alignment horizontal="center" vertical="center" wrapText="1"/>
    </xf>
    <xf numFmtId="0" fontId="8" fillId="6" borderId="0" xfId="0" applyNumberFormat="1" applyFont="1" applyFill="1" applyAlignment="1">
      <alignment horizontal="center" vertical="center" wrapText="1"/>
    </xf>
    <xf numFmtId="49" fontId="2" fillId="0" borderId="3" xfId="0" applyNumberFormat="1" applyFont="1" applyBorder="1" applyAlignment="1">
      <alignment horizontal="center" vertical="center" wrapText="1"/>
    </xf>
    <xf numFmtId="3" fontId="2" fillId="10" borderId="3" xfId="0" applyNumberFormat="1" applyFont="1" applyFill="1" applyBorder="1" applyAlignment="1" applyProtection="1">
      <alignment horizontal="right" vertical="center" wrapText="1"/>
      <protection locked="0"/>
    </xf>
    <xf numFmtId="0" fontId="20" fillId="0" borderId="0" xfId="0" applyNumberFormat="1" applyFont="1" applyAlignment="1">
      <alignment vertical="center" wrapText="1"/>
    </xf>
    <xf numFmtId="49" fontId="2" fillId="10" borderId="3" xfId="0" applyNumberFormat="1" applyFont="1" applyFill="1" applyBorder="1" applyAlignment="1" applyProtection="1">
      <alignment horizontal="left" vertical="center" wrapText="1"/>
      <protection locked="0"/>
    </xf>
    <xf numFmtId="0" fontId="20" fillId="0" borderId="0" xfId="0" applyNumberFormat="1" applyFont="1" applyAlignment="1">
      <alignment vertical="center"/>
    </xf>
    <xf numFmtId="0" fontId="8" fillId="6" borderId="3" xfId="0" applyNumberFormat="1" applyFont="1" applyFill="1" applyBorder="1" applyAlignment="1">
      <alignment horizontal="center" vertical="center" wrapText="1"/>
    </xf>
    <xf numFmtId="0" fontId="19" fillId="0" borderId="13" xfId="0" applyNumberFormat="1" applyFont="1" applyBorder="1" applyAlignment="1">
      <alignment vertical="center"/>
    </xf>
    <xf numFmtId="0" fontId="19" fillId="0" borderId="13" xfId="0" applyNumberFormat="1" applyFont="1" applyBorder="1" applyAlignment="1">
      <alignment vertical="center"/>
    </xf>
    <xf numFmtId="0" fontId="2" fillId="0" borderId="8" xfId="0" applyNumberFormat="1" applyFont="1" applyBorder="1" applyAlignment="1">
      <alignment horizontal="left" vertical="center" wrapText="1" indent="1"/>
    </xf>
    <xf numFmtId="49" fontId="2" fillId="0" borderId="50" xfId="0" applyNumberFormat="1" applyFont="1" applyBorder="1" applyAlignment="1">
      <alignment horizontal="center" vertical="center" wrapText="1"/>
    </xf>
    <xf numFmtId="49" fontId="2" fillId="0" borderId="20" xfId="0" applyNumberFormat="1" applyFont="1" applyBorder="1" applyAlignment="1">
      <alignment horizontal="center" vertical="center" wrapText="1"/>
    </xf>
    <xf numFmtId="0" fontId="2" fillId="0" borderId="0" xfId="0" applyNumberFormat="1" applyFont="1" applyAlignment="1">
      <alignment vertical="center" wrapText="1"/>
    </xf>
    <xf numFmtId="0" fontId="3" fillId="0" borderId="0" xfId="0" applyNumberFormat="1" applyFont="1" applyAlignment="1">
      <alignment vertical="center" wrapText="1"/>
    </xf>
    <xf numFmtId="0" fontId="8" fillId="0" borderId="0" xfId="0" applyNumberFormat="1" applyFont="1" applyAlignment="1">
      <alignment horizontal="center" vertical="center" wrapText="1"/>
    </xf>
    <xf numFmtId="0" fontId="2" fillId="0" borderId="3" xfId="0" applyNumberFormat="1" applyFont="1" applyBorder="1" applyAlignment="1">
      <alignment horizontal="center" vertical="center" wrapText="1"/>
    </xf>
    <xf numFmtId="0" fontId="2" fillId="0" borderId="0" xfId="0" applyNumberFormat="1" applyFont="1" applyAlignment="1">
      <alignment vertical="center" wrapText="1"/>
    </xf>
    <xf numFmtId="0" fontId="20" fillId="0" borderId="0" xfId="0" applyNumberFormat="1" applyFont="1" applyAlignment="1">
      <alignment vertical="center" wrapText="1"/>
    </xf>
    <xf numFmtId="0" fontId="2" fillId="0" borderId="3" xfId="0" applyNumberFormat="1" applyFont="1" applyBorder="1" applyAlignment="1">
      <alignment horizontal="center" vertical="center" wrapText="1"/>
    </xf>
    <xf numFmtId="49" fontId="2" fillId="0" borderId="0" xfId="0" applyNumberFormat="1" applyFont="1" applyAlignment="1">
      <alignment horizontal="center" vertical="center" wrapText="1"/>
    </xf>
    <xf numFmtId="0" fontId="2" fillId="0" borderId="3" xfId="0" applyNumberFormat="1" applyFont="1" applyBorder="1" applyAlignment="1">
      <alignment horizontal="center" vertical="center" wrapText="1"/>
    </xf>
    <xf numFmtId="0" fontId="27" fillId="0" borderId="0" xfId="0" applyNumberFormat="1" applyFont="1" applyAlignment="1">
      <alignment vertical="center"/>
    </xf>
    <xf numFmtId="0" fontId="46" fillId="0" borderId="0" xfId="0" applyNumberFormat="1" applyFont="1" applyAlignment="1">
      <alignment vertical="center" wrapText="1"/>
    </xf>
    <xf numFmtId="0" fontId="20" fillId="0" borderId="0" xfId="0" applyNumberFormat="1" applyFont="1" applyAlignment="1">
      <alignment vertical="center" wrapText="1"/>
    </xf>
    <xf numFmtId="0" fontId="2" fillId="0" borderId="4" xfId="0" applyNumberFormat="1" applyFont="1" applyBorder="1" applyAlignment="1">
      <alignment horizontal="center" vertical="center" wrapText="1"/>
    </xf>
    <xf numFmtId="0" fontId="2" fillId="0" borderId="8" xfId="0" applyNumberFormat="1" applyFont="1" applyBorder="1" applyAlignment="1">
      <alignment horizontal="center" vertical="center" wrapText="1"/>
    </xf>
    <xf numFmtId="0" fontId="2" fillId="0" borderId="6" xfId="0" applyNumberFormat="1" applyFont="1" applyBorder="1" applyAlignment="1">
      <alignment horizontal="right" vertical="center" wrapText="1" indent="1"/>
    </xf>
    <xf numFmtId="0" fontId="2" fillId="0" borderId="3" xfId="0" applyNumberFormat="1" applyFont="1" applyBorder="1" applyAlignment="1">
      <alignment horizontal="center" vertical="center" wrapText="1"/>
    </xf>
    <xf numFmtId="0" fontId="2" fillId="0" borderId="0" xfId="0" applyNumberFormat="1" applyFont="1" applyAlignment="1">
      <alignment horizontal="left" vertical="top" wrapText="1"/>
    </xf>
    <xf numFmtId="0" fontId="2" fillId="0" borderId="3" xfId="0" applyNumberFormat="1" applyFont="1" applyBorder="1" applyAlignment="1">
      <alignment horizontal="center" vertical="center" wrapText="1"/>
    </xf>
    <xf numFmtId="49" fontId="2" fillId="11" borderId="3" xfId="0" applyNumberFormat="1" applyFont="1" applyFill="1" applyBorder="1" applyAlignment="1">
      <alignment horizontal="left" vertical="center" wrapText="1"/>
    </xf>
    <xf numFmtId="0" fontId="2" fillId="0" borderId="3" xfId="0" applyNumberFormat="1" applyFont="1" applyBorder="1" applyAlignment="1">
      <alignment horizontal="left" vertical="center" wrapText="1" indent="2"/>
    </xf>
    <xf numFmtId="0" fontId="20" fillId="0" borderId="8" xfId="0" applyNumberFormat="1" applyFont="1" applyBorder="1" applyAlignment="1">
      <alignment horizontal="center" vertical="center" wrapText="1"/>
    </xf>
    <xf numFmtId="0" fontId="2" fillId="5" borderId="5" xfId="0" applyNumberFormat="1" applyFont="1" applyFill="1" applyBorder="1" applyAlignment="1">
      <alignment horizontal="left" vertical="top" wrapText="1"/>
    </xf>
    <xf numFmtId="0" fontId="2" fillId="0" borderId="3" xfId="0" applyNumberFormat="1" applyFont="1" applyBorder="1" applyAlignment="1">
      <alignment horizontal="center" vertical="center" wrapText="1"/>
    </xf>
    <xf numFmtId="0" fontId="2" fillId="0" borderId="4" xfId="0" applyNumberFormat="1" applyFont="1" applyBorder="1" applyAlignment="1">
      <alignment horizontal="center" vertical="center" wrapText="1"/>
    </xf>
    <xf numFmtId="0" fontId="2" fillId="0" borderId="8" xfId="0" applyNumberFormat="1" applyFont="1" applyBorder="1" applyAlignment="1">
      <alignment horizontal="center" vertical="center" wrapText="1"/>
    </xf>
    <xf numFmtId="0" fontId="2" fillId="0" borderId="6" xfId="0" applyNumberFormat="1" applyFont="1" applyBorder="1" applyAlignment="1">
      <alignment horizontal="right" vertical="center" wrapText="1" indent="1"/>
    </xf>
    <xf numFmtId="0" fontId="2" fillId="0" borderId="3" xfId="0" applyNumberFormat="1" applyFont="1" applyBorder="1" applyAlignment="1">
      <alignment horizontal="center" vertical="center" wrapText="1"/>
    </xf>
    <xf numFmtId="0" fontId="2" fillId="0" borderId="3" xfId="0" applyNumberFormat="1" applyFont="1" applyBorder="1" applyAlignment="1">
      <alignment horizontal="center" vertical="center" wrapText="1"/>
    </xf>
    <xf numFmtId="0" fontId="2" fillId="5" borderId="5" xfId="0" applyNumberFormat="1" applyFont="1" applyFill="1" applyBorder="1" applyAlignment="1">
      <alignment horizontal="left" vertical="top" wrapText="1"/>
    </xf>
    <xf numFmtId="0" fontId="2" fillId="0" borderId="3" xfId="0" applyNumberFormat="1" applyFont="1" applyBorder="1" applyAlignment="1">
      <alignment horizontal="center" vertical="center" wrapText="1"/>
    </xf>
    <xf numFmtId="49" fontId="0" fillId="0" borderId="3" xfId="0" applyNumberFormat="1" applyFont="1" applyBorder="1" applyAlignment="1">
      <alignment vertical="center" wrapText="1"/>
    </xf>
    <xf numFmtId="0" fontId="20" fillId="0" borderId="5" xfId="0" applyNumberFormat="1" applyFont="1" applyBorder="1" applyAlignment="1">
      <alignment vertical="center" wrapText="1"/>
    </xf>
    <xf numFmtId="0" fontId="20" fillId="0" borderId="5" xfId="0" applyNumberFormat="1" applyFont="1" applyBorder="1" applyAlignment="1">
      <alignment horizontal="left" vertical="top" wrapText="1"/>
    </xf>
    <xf numFmtId="49" fontId="2" fillId="0" borderId="51" xfId="0" applyNumberFormat="1" applyFont="1" applyBorder="1" applyAlignment="1">
      <alignment horizontal="center" vertical="center" wrapText="1"/>
    </xf>
    <xf numFmtId="0" fontId="2" fillId="0" borderId="8" xfId="0" applyNumberFormat="1" applyFont="1" applyBorder="1" applyAlignment="1">
      <alignment horizontal="left" vertical="center" wrapText="1"/>
    </xf>
    <xf numFmtId="49" fontId="12" fillId="8" borderId="10" xfId="0" applyNumberFormat="1" applyFont="1" applyFill="1" applyBorder="1" applyAlignment="1">
      <alignment horizontal="left" vertical="center" indent="2"/>
    </xf>
    <xf numFmtId="49" fontId="0" fillId="0" borderId="3" xfId="0" applyNumberFormat="1" applyFont="1" applyBorder="1" applyAlignment="1">
      <alignment horizontal="left" vertical="center" wrapText="1" indent="1"/>
    </xf>
    <xf numFmtId="49" fontId="0" fillId="0" borderId="3" xfId="0" applyNumberFormat="1" applyFont="1" applyBorder="1" applyAlignment="1">
      <alignment horizontal="left" vertical="center" wrapText="1" indent="2"/>
    </xf>
    <xf numFmtId="49" fontId="2" fillId="0" borderId="0" xfId="0" applyNumberFormat="1" applyFont="1" applyAlignment="1">
      <alignment vertical="center" wrapText="1"/>
    </xf>
    <xf numFmtId="0" fontId="0" fillId="0" borderId="3" xfId="0" applyNumberFormat="1" applyFont="1" applyBorder="1" applyAlignment="1">
      <alignment horizontal="center" vertical="center" wrapText="1"/>
    </xf>
    <xf numFmtId="49" fontId="2" fillId="11" borderId="3" xfId="0" applyNumberFormat="1" applyFont="1" applyFill="1" applyBorder="1" applyAlignment="1">
      <alignment horizontal="left" vertical="center" wrapText="1" indent="1"/>
    </xf>
    <xf numFmtId="0" fontId="0" fillId="0" borderId="3" xfId="0" applyNumberFormat="1" applyFont="1" applyBorder="1" applyAlignment="1">
      <alignment horizontal="left" vertical="center" wrapText="1" indent="1"/>
    </xf>
    <xf numFmtId="49" fontId="0" fillId="6" borderId="3" xfId="0" applyNumberFormat="1" applyFont="1" applyFill="1" applyBorder="1" applyAlignment="1">
      <alignment horizontal="center" vertical="center" wrapText="1"/>
    </xf>
    <xf numFmtId="49" fontId="2" fillId="11" borderId="3" xfId="0" applyNumberFormat="1" applyFont="1" applyFill="1" applyBorder="1" applyAlignment="1">
      <alignment horizontal="left" vertical="center" wrapText="1"/>
    </xf>
    <xf numFmtId="49" fontId="2" fillId="0" borderId="52" xfId="0" applyNumberFormat="1" applyFont="1" applyBorder="1" applyAlignment="1">
      <alignment horizontal="center" vertical="center" wrapText="1"/>
    </xf>
    <xf numFmtId="4" fontId="2" fillId="10" borderId="8" xfId="0" applyNumberFormat="1" applyFont="1" applyFill="1" applyBorder="1" applyAlignment="1" applyProtection="1">
      <alignment horizontal="right" vertical="center" wrapText="1"/>
      <protection locked="0"/>
    </xf>
    <xf numFmtId="49" fontId="12" fillId="0" borderId="10" xfId="0" applyNumberFormat="1" applyFont="1" applyBorder="1" applyAlignment="1">
      <alignment horizontal="left" vertical="center"/>
    </xf>
    <xf numFmtId="49" fontId="12" fillId="0" borderId="10" xfId="0" applyNumberFormat="1" applyFont="1" applyBorder="1" applyAlignment="1">
      <alignment horizontal="left" vertical="center" indent="2"/>
    </xf>
    <xf numFmtId="49" fontId="16" fillId="0" borderId="10" xfId="0" applyNumberFormat="1" applyFont="1" applyBorder="1" applyAlignment="1">
      <alignment horizontal="center" vertical="top"/>
    </xf>
    <xf numFmtId="0" fontId="2" fillId="0" borderId="10" xfId="0" applyNumberFormat="1" applyFont="1" applyBorder="1" applyAlignment="1">
      <alignment horizontal="left" vertical="top" wrapText="1"/>
    </xf>
    <xf numFmtId="0" fontId="2" fillId="0" borderId="0" xfId="0" applyNumberFormat="1" applyFont="1" applyAlignment="1">
      <alignment horizontal="right" vertical="top" wrapText="1"/>
    </xf>
    <xf numFmtId="49" fontId="0" fillId="10" borderId="3" xfId="0" applyNumberFormat="1" applyFont="1" applyFill="1" applyBorder="1" applyAlignment="1" applyProtection="1">
      <alignment horizontal="left" vertical="center" wrapText="1" indent="1"/>
      <protection locked="0"/>
    </xf>
    <xf numFmtId="49" fontId="19" fillId="0" borderId="0" xfId="0" applyNumberFormat="1" applyFont="1">
      <alignment vertical="top"/>
    </xf>
    <xf numFmtId="49" fontId="2" fillId="11" borderId="3" xfId="0" applyNumberFormat="1" applyFont="1" applyFill="1" applyBorder="1" applyAlignment="1">
      <alignment horizontal="left" vertical="center" wrapText="1"/>
    </xf>
    <xf numFmtId="49" fontId="2" fillId="11" borderId="5" xfId="0" applyNumberFormat="1" applyFont="1" applyFill="1" applyBorder="1" applyAlignment="1">
      <alignment horizontal="left" vertical="center" wrapText="1"/>
    </xf>
    <xf numFmtId="0" fontId="2" fillId="6" borderId="0" xfId="0" applyNumberFormat="1" applyFont="1" applyFill="1" applyAlignment="1"/>
    <xf numFmtId="0" fontId="2" fillId="0" borderId="0" xfId="0" applyNumberFormat="1" applyFont="1" applyAlignment="1">
      <alignment vertical="top" wrapText="1"/>
    </xf>
    <xf numFmtId="0" fontId="8" fillId="6" borderId="0" xfId="0" applyNumberFormat="1" applyFont="1" applyFill="1" applyAlignment="1">
      <alignment horizontal="center" vertical="center" wrapText="1"/>
    </xf>
    <xf numFmtId="0" fontId="0" fillId="6" borderId="14" xfId="0" applyNumberFormat="1" applyFont="1" applyFill="1" applyBorder="1" applyAlignment="1">
      <alignment vertical="center" wrapText="1"/>
    </xf>
    <xf numFmtId="0" fontId="0" fillId="0" borderId="0" xfId="0" applyNumberFormat="1" applyFont="1">
      <alignment vertical="top"/>
    </xf>
    <xf numFmtId="49" fontId="3" fillId="18" borderId="0" xfId="0" applyNumberFormat="1" applyFont="1" applyFill="1" applyAlignment="1">
      <alignment horizontal="center" vertical="center"/>
    </xf>
    <xf numFmtId="0" fontId="0" fillId="19" borderId="0" xfId="0" applyNumberFormat="1" applyFont="1" applyFill="1" applyAlignment="1">
      <alignment horizontal="left" vertical="center"/>
    </xf>
    <xf numFmtId="49" fontId="0" fillId="0" borderId="0" xfId="0" applyNumberFormat="1" applyFont="1" applyAlignment="1">
      <alignment vertical="center"/>
    </xf>
    <xf numFmtId="0" fontId="0" fillId="19" borderId="0" xfId="0" applyNumberFormat="1" applyFont="1" applyFill="1" applyAlignment="1">
      <alignment horizontal="right" vertical="center"/>
    </xf>
    <xf numFmtId="0" fontId="27" fillId="19" borderId="0" xfId="0" applyNumberFormat="1" applyFont="1" applyFill="1" applyAlignment="1">
      <alignment horizontal="left" vertical="center"/>
    </xf>
    <xf numFmtId="0" fontId="0" fillId="0" borderId="0" xfId="0" applyNumberFormat="1" applyFont="1" applyAlignment="1">
      <alignment horizontal="right" vertical="top"/>
    </xf>
    <xf numFmtId="0" fontId="0" fillId="19" borderId="1" xfId="0" applyNumberFormat="1" applyFont="1" applyFill="1" applyBorder="1" applyAlignment="1">
      <alignment horizontal="center"/>
    </xf>
    <xf numFmtId="0" fontId="0" fillId="0" borderId="1" xfId="0" applyNumberFormat="1" applyFont="1" applyBorder="1" applyAlignment="1">
      <alignment horizontal="center"/>
    </xf>
    <xf numFmtId="0" fontId="89" fillId="0" borderId="0" xfId="0" applyNumberFormat="1" applyFont="1" applyAlignment="1">
      <alignment wrapText="1"/>
    </xf>
    <xf numFmtId="49" fontId="39" fillId="0" borderId="0" xfId="0" applyNumberFormat="1" applyFont="1" applyAlignment="1">
      <alignment wrapText="1"/>
    </xf>
    <xf numFmtId="49" fontId="39" fillId="0" borderId="0" xfId="0" applyNumberFormat="1" applyFont="1" applyAlignment="1">
      <alignment vertical="center" wrapText="1"/>
    </xf>
    <xf numFmtId="49" fontId="90" fillId="0" borderId="0" xfId="0" applyNumberFormat="1" applyFont="1" applyAlignment="1">
      <alignment wrapText="1"/>
    </xf>
    <xf numFmtId="0" fontId="10" fillId="0" borderId="0" xfId="0" applyNumberFormat="1" applyFont="1" applyAlignment="1"/>
    <xf numFmtId="0" fontId="76" fillId="0" borderId="0" xfId="0" applyNumberFormat="1" applyFont="1" applyAlignment="1">
      <alignment horizontal="left" vertical="center" wrapText="1"/>
    </xf>
    <xf numFmtId="49" fontId="91" fillId="0" borderId="0" xfId="0" applyNumberFormat="1" applyFont="1" applyAlignment="1">
      <alignment wrapText="1"/>
    </xf>
    <xf numFmtId="0" fontId="18" fillId="0" borderId="0" xfId="0" applyNumberFormat="1" applyFont="1" applyAlignment="1">
      <alignment horizontal="left" vertical="top" wrapText="1"/>
    </xf>
    <xf numFmtId="49" fontId="2" fillId="0" borderId="0" xfId="0" applyNumberFormat="1" applyFont="1" applyAlignment="1">
      <alignment vertical="top" wrapText="1"/>
    </xf>
    <xf numFmtId="0" fontId="39" fillId="0" borderId="0" xfId="0" applyNumberFormat="1" applyFont="1" applyAlignment="1">
      <alignment wrapText="1"/>
    </xf>
    <xf numFmtId="0" fontId="92" fillId="0" borderId="0" xfId="0" applyNumberFormat="1" applyFont="1" applyAlignment="1">
      <alignment horizontal="left" vertical="center" wrapText="1"/>
    </xf>
    <xf numFmtId="0" fontId="93" fillId="0" borderId="0" xfId="0" applyNumberFormat="1" applyFont="1" applyAlignment="1">
      <alignment vertical="center" wrapText="1"/>
    </xf>
    <xf numFmtId="0" fontId="39" fillId="0" borderId="29" xfId="0" applyNumberFormat="1" applyFont="1" applyBorder="1" applyAlignment="1">
      <alignment wrapText="1"/>
    </xf>
    <xf numFmtId="0" fontId="39" fillId="0" borderId="0" xfId="0" applyNumberFormat="1" applyFont="1" applyAlignment="1"/>
    <xf numFmtId="0" fontId="92" fillId="0" borderId="0" xfId="0" applyNumberFormat="1" applyFont="1" applyAlignment="1"/>
    <xf numFmtId="0" fontId="94" fillId="0" borderId="0" xfId="0" applyNumberFormat="1" applyFont="1" applyAlignment="1">
      <alignment wrapText="1"/>
    </xf>
    <xf numFmtId="0" fontId="0" fillId="7" borderId="53" xfId="0" applyNumberFormat="1" applyFont="1" applyFill="1" applyBorder="1" applyAlignment="1">
      <alignment horizontal="center" vertical="center" wrapText="1"/>
    </xf>
    <xf numFmtId="0" fontId="0" fillId="24" borderId="53" xfId="0" applyNumberFormat="1" applyFont="1" applyFill="1" applyBorder="1" applyAlignment="1">
      <alignment horizontal="center" vertical="center" wrapText="1"/>
    </xf>
    <xf numFmtId="0" fontId="0" fillId="5" borderId="53" xfId="0" applyNumberFormat="1" applyFont="1" applyFill="1" applyBorder="1" applyAlignment="1">
      <alignment horizontal="center" vertical="center" wrapText="1"/>
    </xf>
    <xf numFmtId="0" fontId="0" fillId="10" borderId="53" xfId="0" applyNumberFormat="1" applyFont="1" applyFill="1" applyBorder="1" applyAlignment="1">
      <alignment horizontal="center" vertical="center" wrapText="1"/>
    </xf>
    <xf numFmtId="0" fontId="92" fillId="0" borderId="29" xfId="0" applyNumberFormat="1" applyFont="1" applyBorder="1" applyAlignment="1">
      <alignment horizontal="left" vertical="center" wrapText="1"/>
    </xf>
    <xf numFmtId="0" fontId="92" fillId="0" borderId="54" xfId="0" applyNumberFormat="1" applyFont="1" applyBorder="1" applyAlignment="1">
      <alignment horizontal="left" vertical="center" wrapText="1"/>
    </xf>
    <xf numFmtId="0" fontId="94" fillId="0" borderId="0" xfId="0" applyNumberFormat="1" applyFont="1" applyAlignment="1"/>
    <xf numFmtId="0" fontId="94" fillId="0" borderId="29" xfId="0" applyNumberFormat="1" applyFont="1" applyBorder="1" applyAlignment="1">
      <alignment wrapText="1"/>
    </xf>
    <xf numFmtId="0" fontId="39" fillId="0" borderId="55" xfId="0" applyNumberFormat="1" applyFont="1" applyBorder="1" applyAlignment="1">
      <alignment wrapText="1"/>
    </xf>
    <xf numFmtId="0" fontId="39" fillId="0" borderId="30" xfId="0" applyNumberFormat="1" applyFont="1" applyBorder="1" applyAlignment="1">
      <alignment wrapText="1"/>
    </xf>
    <xf numFmtId="0" fontId="39" fillId="0" borderId="30" xfId="0" applyNumberFormat="1" applyFont="1" applyBorder="1" applyAlignment="1">
      <alignment vertical="center" wrapText="1"/>
    </xf>
    <xf numFmtId="0" fontId="90" fillId="0" borderId="0" xfId="0" applyNumberFormat="1" applyFont="1" applyAlignment="1"/>
    <xf numFmtId="0" fontId="7" fillId="0" borderId="15" xfId="0" applyNumberFormat="1" applyFont="1" applyBorder="1" applyAlignment="1">
      <alignment horizontal="center" vertical="center" wrapText="1"/>
    </xf>
    <xf numFmtId="49" fontId="2" fillId="0" borderId="4" xfId="0" applyNumberFormat="1" applyFont="1" applyBorder="1" applyAlignment="1">
      <alignment horizontal="center" vertical="center" wrapText="1"/>
    </xf>
    <xf numFmtId="49" fontId="95" fillId="0" borderId="0" xfId="0" applyNumberFormat="1" applyFont="1" applyAlignment="1">
      <alignment horizontal="center" vertical="center" wrapText="1"/>
    </xf>
    <xf numFmtId="49" fontId="2" fillId="19" borderId="0" xfId="0" applyNumberFormat="1" applyFont="1" applyFill="1" applyAlignment="1">
      <alignment horizontal="center" vertical="center"/>
    </xf>
    <xf numFmtId="171" fontId="0" fillId="10" borderId="3" xfId="0" applyNumberFormat="1" applyFont="1" applyFill="1" applyBorder="1" applyAlignment="1" applyProtection="1">
      <alignment horizontal="left" vertical="center" wrapText="1" indent="1"/>
      <protection locked="0"/>
    </xf>
    <xf numFmtId="171" fontId="0" fillId="0" borderId="3" xfId="0" applyNumberFormat="1" applyFont="1" applyBorder="1" applyAlignment="1">
      <alignment horizontal="left" vertical="center" wrapText="1" indent="1"/>
    </xf>
    <xf numFmtId="171" fontId="0" fillId="10" borderId="3" xfId="0" applyNumberFormat="1" applyFont="1" applyFill="1" applyBorder="1" applyAlignment="1" applyProtection="1">
      <alignment horizontal="center" vertical="center" wrapText="1"/>
      <protection locked="0"/>
    </xf>
    <xf numFmtId="171" fontId="20" fillId="0" borderId="0" xfId="0" applyNumberFormat="1" applyFont="1" applyAlignment="1">
      <alignment horizontal="center" vertical="center" wrapText="1"/>
    </xf>
    <xf numFmtId="171" fontId="20" fillId="0" borderId="3" xfId="0" applyNumberFormat="1" applyFont="1" applyBorder="1" applyAlignment="1">
      <alignment horizontal="center" vertical="center" wrapText="1"/>
    </xf>
    <xf numFmtId="171" fontId="0" fillId="10" borderId="3" xfId="0" applyNumberFormat="1" applyFont="1" applyFill="1" applyBorder="1" applyAlignment="1" applyProtection="1">
      <alignment horizontal="left" vertical="center" wrapText="1"/>
      <protection locked="0"/>
    </xf>
    <xf numFmtId="171" fontId="0" fillId="7" borderId="3" xfId="0" applyNumberFormat="1" applyFont="1" applyFill="1" applyBorder="1" applyAlignment="1" applyProtection="1">
      <alignment horizontal="left" vertical="center" wrapText="1" indent="1"/>
      <protection locked="0"/>
    </xf>
    <xf numFmtId="171" fontId="0" fillId="10" borderId="4" xfId="0" applyNumberFormat="1" applyFont="1" applyFill="1" applyBorder="1" applyAlignment="1" applyProtection="1">
      <alignment horizontal="left" vertical="center" wrapText="1"/>
      <protection locked="0"/>
    </xf>
    <xf numFmtId="0" fontId="2" fillId="0" borderId="0" xfId="0" applyNumberFormat="1" applyFont="1" applyAlignment="1">
      <alignment horizontal="left" vertical="top" indent="1"/>
    </xf>
    <xf numFmtId="0" fontId="2" fillId="5" borderId="18" xfId="0" applyNumberFormat="1" applyFont="1" applyFill="1" applyBorder="1" applyAlignment="1">
      <alignment horizontal="center" vertical="top"/>
    </xf>
    <xf numFmtId="0" fontId="0" fillId="0" borderId="25" xfId="0" applyNumberFormat="1" applyFont="1" applyBorder="1" applyAlignment="1">
      <alignment horizontal="center" vertical="center"/>
    </xf>
    <xf numFmtId="0" fontId="0" fillId="0" borderId="24" xfId="0" applyNumberFormat="1" applyFont="1" applyBorder="1" applyAlignment="1">
      <alignment horizontal="center" vertical="center"/>
    </xf>
    <xf numFmtId="0" fontId="2" fillId="5" borderId="18" xfId="0" applyNumberFormat="1" applyFont="1" applyFill="1" applyBorder="1" applyAlignment="1">
      <alignment horizontal="left" vertical="top"/>
    </xf>
    <xf numFmtId="0" fontId="2" fillId="0" borderId="3" xfId="0" applyNumberFormat="1" applyFont="1" applyBorder="1" applyAlignment="1">
      <alignment horizontal="left" vertical="top"/>
    </xf>
    <xf numFmtId="49" fontId="2" fillId="0" borderId="0" xfId="0" applyNumberFormat="1" applyFont="1" applyAlignment="1">
      <alignment horizontal="left" vertical="top"/>
    </xf>
    <xf numFmtId="0" fontId="0" fillId="5" borderId="27" xfId="0" applyNumberFormat="1" applyFont="1" applyFill="1" applyBorder="1" applyAlignment="1">
      <alignment horizontal="left" vertical="top" wrapText="1" indent="1"/>
    </xf>
    <xf numFmtId="49" fontId="2" fillId="11" borderId="27" xfId="0" applyNumberFormat="1" applyFont="1" applyFill="1" applyBorder="1" applyAlignment="1">
      <alignment horizontal="center" vertical="top" wrapText="1"/>
    </xf>
    <xf numFmtId="49" fontId="0" fillId="10" borderId="27" xfId="0" applyNumberFormat="1" applyFont="1" applyFill="1" applyBorder="1" applyAlignment="1" applyProtection="1">
      <alignment horizontal="center" vertical="top" wrapText="1"/>
      <protection locked="0"/>
    </xf>
    <xf numFmtId="49" fontId="0" fillId="7" borderId="27" xfId="0" applyNumberFormat="1" applyFont="1" applyFill="1" applyBorder="1" applyAlignment="1" applyProtection="1">
      <alignment horizontal="center" vertical="top" wrapText="1"/>
      <protection locked="0"/>
    </xf>
    <xf numFmtId="49" fontId="2" fillId="11" borderId="27" xfId="0" applyNumberFormat="1" applyFont="1" applyFill="1" applyBorder="1" applyAlignment="1">
      <alignment horizontal="left" vertical="top" wrapText="1"/>
    </xf>
    <xf numFmtId="49" fontId="2" fillId="10" borderId="27" xfId="0" applyNumberFormat="1" applyFont="1" applyFill="1" applyBorder="1" applyAlignment="1" applyProtection="1">
      <alignment horizontal="left" vertical="top" wrapText="1"/>
      <protection locked="0"/>
    </xf>
    <xf numFmtId="49" fontId="0" fillId="5" borderId="27" xfId="0" applyNumberFormat="1" applyFont="1" applyFill="1" applyBorder="1" applyAlignment="1">
      <alignment horizontal="center" vertical="top" wrapText="1"/>
    </xf>
    <xf numFmtId="0" fontId="2" fillId="5" borderId="27" xfId="0" applyNumberFormat="1" applyFont="1" applyFill="1" applyBorder="1" applyAlignment="1">
      <alignment horizontal="center" vertical="top" wrapText="1"/>
    </xf>
    <xf numFmtId="0" fontId="2" fillId="7" borderId="27" xfId="0" applyNumberFormat="1" applyFont="1" applyFill="1" applyBorder="1" applyAlignment="1" applyProtection="1">
      <alignment horizontal="left" vertical="top" wrapText="1"/>
      <protection locked="0"/>
    </xf>
    <xf numFmtId="0" fontId="12" fillId="0" borderId="27" xfId="0" applyNumberFormat="1" applyFont="1" applyBorder="1" applyAlignment="1">
      <alignment horizontal="left" vertical="center"/>
    </xf>
    <xf numFmtId="0" fontId="12" fillId="7" borderId="27" xfId="0" applyNumberFormat="1" applyFont="1" applyFill="1" applyBorder="1" applyAlignment="1" applyProtection="1">
      <alignment horizontal="left" vertical="center"/>
      <protection locked="0"/>
    </xf>
    <xf numFmtId="0" fontId="12" fillId="10" borderId="27" xfId="0" applyNumberFormat="1" applyFont="1" applyFill="1" applyBorder="1" applyAlignment="1" applyProtection="1">
      <alignment horizontal="left" vertical="center"/>
      <protection locked="0"/>
    </xf>
    <xf numFmtId="14" fontId="2" fillId="11" borderId="27" xfId="0" applyNumberFormat="1" applyFont="1" applyFill="1" applyBorder="1" applyAlignment="1">
      <alignment horizontal="left" vertical="center" wrapText="1" indent="1"/>
    </xf>
    <xf numFmtId="49" fontId="2" fillId="11" borderId="0" xfId="0" applyNumberFormat="1" applyFont="1" applyFill="1" applyAlignment="1">
      <alignment horizontal="center" vertical="center" wrapText="1"/>
    </xf>
    <xf numFmtId="0" fontId="2" fillId="0" borderId="3" xfId="0" applyNumberFormat="1" applyFont="1" applyBorder="1" applyAlignment="1">
      <alignment horizontal="center" vertical="center" wrapText="1"/>
    </xf>
    <xf numFmtId="0" fontId="0" fillId="6" borderId="3" xfId="0" applyNumberFormat="1" applyFont="1" applyFill="1" applyBorder="1" applyAlignment="1">
      <alignment vertical="top" wrapText="1"/>
    </xf>
    <xf numFmtId="0" fontId="19" fillId="0" borderId="3" xfId="0" applyNumberFormat="1" applyFont="1" applyBorder="1" applyAlignment="1">
      <alignment vertical="top" wrapText="1"/>
    </xf>
    <xf numFmtId="49" fontId="2" fillId="11" borderId="8" xfId="0" applyNumberFormat="1" applyFont="1" applyFill="1" applyBorder="1" applyAlignment="1">
      <alignment vertical="center" wrapText="1"/>
    </xf>
    <xf numFmtId="49" fontId="2" fillId="11" borderId="27" xfId="0" applyNumberFormat="1" applyFont="1" applyFill="1" applyBorder="1" applyAlignment="1">
      <alignment vertical="center" wrapText="1"/>
    </xf>
    <xf numFmtId="49" fontId="2" fillId="11" borderId="14" xfId="0" applyNumberFormat="1" applyFont="1" applyFill="1" applyBorder="1" applyAlignment="1">
      <alignment vertical="center" wrapText="1"/>
    </xf>
    <xf numFmtId="49" fontId="2" fillId="7" borderId="3" xfId="0" applyNumberFormat="1" applyFont="1" applyFill="1" applyBorder="1" applyAlignment="1" applyProtection="1">
      <alignment horizontal="left" vertical="center" wrapText="1" indent="1"/>
      <protection locked="0"/>
    </xf>
    <xf numFmtId="0" fontId="0" fillId="10" borderId="3" xfId="0" applyNumberFormat="1" applyFont="1" applyFill="1" applyBorder="1" applyAlignment="1" applyProtection="1">
      <alignment horizontal="left" vertical="center" wrapText="1" indent="1"/>
      <protection locked="0"/>
    </xf>
    <xf numFmtId="0" fontId="0" fillId="0" borderId="4" xfId="0" applyNumberFormat="1" applyFont="1" applyBorder="1" applyAlignment="1">
      <alignment horizontal="center" vertical="center" wrapText="1"/>
    </xf>
    <xf numFmtId="0" fontId="0" fillId="0" borderId="3" xfId="0" applyNumberFormat="1" applyFont="1" applyBorder="1" applyAlignment="1">
      <alignment horizontal="center" vertical="center" wrapText="1"/>
    </xf>
    <xf numFmtId="0" fontId="2" fillId="0" borderId="3" xfId="0" applyNumberFormat="1" applyFont="1" applyBorder="1" applyAlignment="1">
      <alignment horizontal="left" vertical="center" wrapText="1"/>
    </xf>
    <xf numFmtId="49" fontId="0" fillId="6" borderId="3" xfId="0" applyNumberFormat="1" applyFont="1" applyFill="1" applyBorder="1" applyAlignment="1">
      <alignment horizontal="center" vertical="center" wrapText="1"/>
    </xf>
    <xf numFmtId="0" fontId="0" fillId="0" borderId="3" xfId="0" applyNumberFormat="1" applyFont="1" applyBorder="1" applyAlignment="1">
      <alignment horizontal="center" vertical="center" wrapText="1"/>
    </xf>
    <xf numFmtId="0" fontId="0" fillId="0" borderId="4" xfId="0" applyNumberFormat="1" applyFont="1" applyBorder="1" applyAlignment="1">
      <alignment horizontal="center" vertical="center" wrapText="1"/>
    </xf>
    <xf numFmtId="49" fontId="2" fillId="0" borderId="0" xfId="0" applyNumberFormat="1" applyFont="1" applyAlignment="1">
      <alignment horizontal="left" vertical="center" indent="1"/>
    </xf>
    <xf numFmtId="0" fontId="2" fillId="11" borderId="3" xfId="0" applyNumberFormat="1" applyFont="1" applyFill="1" applyBorder="1" applyAlignment="1">
      <alignment horizontal="center" vertical="center" wrapText="1"/>
    </xf>
    <xf numFmtId="171" fontId="0" fillId="10" borderId="5" xfId="0" applyNumberFormat="1" applyFont="1" applyFill="1" applyBorder="1" applyAlignment="1" applyProtection="1">
      <alignment horizontal="left" vertical="center" wrapText="1"/>
      <protection locked="0"/>
    </xf>
    <xf numFmtId="171" fontId="0" fillId="0" borderId="2" xfId="0" applyNumberFormat="1" applyFont="1" applyBorder="1" applyAlignment="1">
      <alignment horizontal="left" vertical="center" wrapText="1" indent="1"/>
    </xf>
    <xf numFmtId="49" fontId="2" fillId="6" borderId="17" xfId="0" applyNumberFormat="1" applyFont="1" applyFill="1" applyBorder="1" applyAlignment="1">
      <alignment horizontal="right" vertical="center" wrapText="1" indent="1"/>
    </xf>
    <xf numFmtId="49" fontId="19" fillId="0" borderId="0" xfId="0" applyNumberFormat="1" applyFont="1" applyAlignment="1">
      <alignment vertical="center" wrapText="1"/>
    </xf>
    <xf numFmtId="49" fontId="0" fillId="7" borderId="3" xfId="0" applyNumberFormat="1" applyFont="1" applyFill="1" applyBorder="1" applyAlignment="1" applyProtection="1">
      <alignment horizontal="left" vertical="center" wrapText="1"/>
      <protection locked="0"/>
    </xf>
    <xf numFmtId="4" fontId="0" fillId="10" borderId="3" xfId="0" applyNumberFormat="1" applyFont="1" applyFill="1" applyBorder="1" applyAlignment="1" applyProtection="1">
      <alignment horizontal="right" vertical="center" wrapText="1"/>
      <protection locked="0"/>
    </xf>
    <xf numFmtId="49" fontId="2" fillId="0" borderId="0" xfId="0" applyNumberFormat="1" applyFont="1" applyAlignment="1">
      <alignment vertical="top" wrapText="1"/>
    </xf>
    <xf numFmtId="49" fontId="2" fillId="0" borderId="0" xfId="0" applyNumberFormat="1" applyFont="1">
      <alignment vertical="top"/>
    </xf>
    <xf numFmtId="49" fontId="2" fillId="0" borderId="0" xfId="0" applyNumberFormat="1" applyFont="1">
      <alignment vertical="top"/>
    </xf>
    <xf numFmtId="49" fontId="2" fillId="0" borderId="3" xfId="0" applyNumberFormat="1" applyFont="1" applyBorder="1" applyAlignment="1">
      <alignment horizontal="center" vertical="center" wrapText="1"/>
    </xf>
    <xf numFmtId="49" fontId="2" fillId="0" borderId="10" xfId="0" applyNumberFormat="1" applyFont="1" applyBorder="1" applyAlignment="1">
      <alignment horizontal="center" vertical="center" wrapText="1"/>
    </xf>
    <xf numFmtId="0" fontId="2" fillId="11" borderId="27" xfId="0" applyNumberFormat="1" applyFont="1" applyFill="1" applyBorder="1" applyAlignment="1">
      <alignment horizontal="center" vertical="top" wrapText="1"/>
    </xf>
    <xf numFmtId="49" fontId="2" fillId="0" borderId="10" xfId="0" applyNumberFormat="1" applyFont="1" applyBorder="1" applyAlignment="1">
      <alignment horizontal="left" vertical="center" wrapText="1"/>
    </xf>
    <xf numFmtId="49" fontId="2" fillId="0" borderId="0" xfId="0" applyNumberFormat="1" applyFont="1" applyAlignment="1">
      <alignment horizontal="center" vertical="center" wrapText="1"/>
    </xf>
    <xf numFmtId="49" fontId="2" fillId="11" borderId="27" xfId="0" applyNumberFormat="1" applyFont="1" applyFill="1" applyBorder="1" applyAlignment="1">
      <alignment horizontal="center" vertical="center" wrapText="1"/>
    </xf>
    <xf numFmtId="0" fontId="12" fillId="0" borderId="0" xfId="0" applyNumberFormat="1" applyFont="1" applyAlignment="1">
      <alignment horizontal="left" vertical="center"/>
    </xf>
    <xf numFmtId="49" fontId="2" fillId="0" borderId="10" xfId="0" applyNumberFormat="1" applyFont="1" applyBorder="1" applyAlignment="1">
      <alignment horizontal="left" vertical="center" wrapText="1"/>
    </xf>
    <xf numFmtId="49" fontId="2" fillId="0" borderId="0" xfId="0" applyNumberFormat="1" applyFont="1" applyAlignment="1">
      <alignment horizontal="left" vertical="center" wrapText="1"/>
    </xf>
    <xf numFmtId="49" fontId="2" fillId="6" borderId="0" xfId="0" applyNumberFormat="1" applyFont="1" applyFill="1" applyAlignment="1">
      <alignment horizontal="center" vertical="center" wrapText="1"/>
    </xf>
    <xf numFmtId="0" fontId="0" fillId="0" borderId="14" xfId="0" applyNumberFormat="1" applyFont="1" applyBorder="1" applyAlignment="1">
      <alignment horizontal="center" vertical="center" wrapText="1"/>
    </xf>
    <xf numFmtId="0" fontId="2" fillId="0" borderId="3" xfId="0" applyNumberFormat="1" applyFont="1" applyBorder="1" applyAlignment="1">
      <alignment horizontal="center" vertical="center" wrapText="1"/>
    </xf>
    <xf numFmtId="0" fontId="20" fillId="0" borderId="0" xfId="0" applyNumberFormat="1" applyFont="1" applyAlignment="1">
      <alignment horizontal="center" vertical="center" wrapText="1"/>
    </xf>
    <xf numFmtId="0" fontId="17" fillId="0" borderId="3" xfId="0" applyNumberFormat="1" applyFont="1" applyBorder="1" applyAlignment="1">
      <alignment horizontal="center" vertical="center"/>
    </xf>
    <xf numFmtId="49" fontId="0" fillId="10" borderId="3" xfId="0" applyNumberFormat="1" applyFont="1" applyFill="1" applyBorder="1" applyAlignment="1" applyProtection="1">
      <alignment horizontal="left" vertical="center" wrapText="1"/>
      <protection locked="0"/>
    </xf>
    <xf numFmtId="0" fontId="19" fillId="0" borderId="0" xfId="0" applyNumberFormat="1" applyFont="1" applyAlignment="1">
      <alignment horizontal="center" vertical="top"/>
    </xf>
    <xf numFmtId="49" fontId="2" fillId="0" borderId="27" xfId="0" applyNumberFormat="1" applyFont="1" applyBorder="1" applyAlignment="1">
      <alignment horizontal="center" vertical="top" wrapText="1"/>
    </xf>
    <xf numFmtId="0" fontId="2" fillId="0" borderId="3" xfId="0" applyNumberFormat="1" applyFont="1" applyBorder="1" applyAlignment="1">
      <alignment horizontal="left" vertical="center" wrapText="1"/>
    </xf>
    <xf numFmtId="0" fontId="7" fillId="0" borderId="3" xfId="0" applyNumberFormat="1" applyFont="1" applyBorder="1" applyAlignment="1">
      <alignment horizontal="center" vertical="center" wrapText="1"/>
    </xf>
    <xf numFmtId="49" fontId="12" fillId="8" borderId="42" xfId="0" applyNumberFormat="1" applyFont="1" applyFill="1" applyBorder="1" applyAlignment="1">
      <alignment horizontal="left" vertical="center" indent="1"/>
    </xf>
    <xf numFmtId="49" fontId="2" fillId="7" borderId="3" xfId="0" applyNumberFormat="1" applyFont="1" applyFill="1" applyBorder="1" applyAlignment="1" applyProtection="1">
      <alignment horizontal="left" vertical="center" wrapText="1"/>
      <protection locked="0"/>
    </xf>
    <xf numFmtId="49" fontId="20" fillId="0" borderId="3" xfId="0" applyNumberFormat="1" applyFont="1" applyBorder="1" applyAlignment="1">
      <alignment horizontal="center" vertical="center" wrapText="1"/>
    </xf>
    <xf numFmtId="171" fontId="0" fillId="10" borderId="3" xfId="0" applyNumberFormat="1" applyFont="1" applyFill="1" applyBorder="1" applyAlignment="1" applyProtection="1">
      <alignment horizontal="center" vertical="center" wrapText="1"/>
      <protection locked="0"/>
    </xf>
    <xf numFmtId="49" fontId="0" fillId="10" borderId="3" xfId="0" applyNumberFormat="1" applyFont="1" applyFill="1" applyBorder="1" applyAlignment="1" applyProtection="1">
      <alignment horizontal="center" vertical="center" wrapText="1"/>
      <protection locked="0"/>
    </xf>
    <xf numFmtId="0" fontId="2" fillId="0" borderId="3" xfId="0" applyNumberFormat="1" applyFont="1" applyBorder="1" applyAlignment="1">
      <alignment horizontal="center" vertical="center" wrapText="1"/>
    </xf>
    <xf numFmtId="0" fontId="19" fillId="0" borderId="0" xfId="0" applyNumberFormat="1" applyFont="1" applyAlignment="1">
      <alignment horizontal="center" vertical="center" wrapText="1"/>
    </xf>
    <xf numFmtId="0" fontId="0" fillId="0" borderId="3" xfId="0" applyNumberFormat="1" applyFont="1" applyBorder="1" applyAlignment="1">
      <alignment horizontal="left" vertical="center" wrapText="1"/>
    </xf>
    <xf numFmtId="0" fontId="2" fillId="0" borderId="27" xfId="0" applyNumberFormat="1" applyFont="1" applyBorder="1" applyAlignment="1">
      <alignment horizontal="center" vertical="center" wrapText="1"/>
    </xf>
    <xf numFmtId="0" fontId="2" fillId="6" borderId="5" xfId="0" applyNumberFormat="1" applyFont="1" applyFill="1" applyBorder="1" applyAlignment="1">
      <alignment horizontal="center" vertical="center" wrapText="1"/>
    </xf>
    <xf numFmtId="49" fontId="0" fillId="6" borderId="3" xfId="0" applyNumberFormat="1" applyFont="1" applyFill="1" applyBorder="1" applyAlignment="1">
      <alignment horizontal="center" vertical="center" wrapText="1"/>
    </xf>
    <xf numFmtId="49" fontId="2" fillId="0" borderId="3" xfId="0" applyNumberFormat="1" applyFont="1" applyBorder="1" applyAlignment="1">
      <alignment horizontal="center" vertical="center" wrapText="1"/>
    </xf>
    <xf numFmtId="49" fontId="2" fillId="11" borderId="5" xfId="0" applyNumberFormat="1" applyFont="1" applyFill="1" applyBorder="1" applyAlignment="1">
      <alignment horizontal="left" vertical="center" wrapText="1"/>
    </xf>
    <xf numFmtId="0" fontId="2" fillId="0" borderId="14" xfId="0" applyNumberFormat="1" applyFont="1" applyBorder="1" applyAlignment="1">
      <alignment horizontal="center" vertical="center" wrapText="1"/>
    </xf>
    <xf numFmtId="0" fontId="17" fillId="0" borderId="4" xfId="0" applyNumberFormat="1" applyFont="1" applyBorder="1" applyAlignment="1">
      <alignment horizontal="center" vertical="center"/>
    </xf>
    <xf numFmtId="49" fontId="0" fillId="9" borderId="0" xfId="0" applyNumberFormat="1" applyFont="1" applyFill="1">
      <alignment vertical="top"/>
    </xf>
    <xf numFmtId="0" fontId="8" fillId="6" borderId="0" xfId="0" applyNumberFormat="1" applyFont="1" applyFill="1" applyAlignment="1">
      <alignment horizontal="center" vertical="center" wrapText="1"/>
    </xf>
    <xf numFmtId="0" fontId="8" fillId="6" borderId="0" xfId="0" applyNumberFormat="1" applyFont="1" applyFill="1" applyAlignment="1">
      <alignment horizontal="center"/>
    </xf>
    <xf numFmtId="0" fontId="8" fillId="0" borderId="0" xfId="0" applyNumberFormat="1" applyFont="1" applyAlignment="1">
      <alignment horizontal="center" vertical="center" wrapText="1"/>
    </xf>
    <xf numFmtId="0" fontId="14" fillId="0" borderId="0" xfId="0" applyNumberFormat="1" applyFont="1" applyAlignment="1">
      <alignment vertical="center" wrapText="1"/>
    </xf>
    <xf numFmtId="49" fontId="0" fillId="0" borderId="3" xfId="0" applyNumberFormat="1" applyFont="1" applyBorder="1">
      <alignment vertical="top"/>
    </xf>
    <xf numFmtId="49" fontId="0" fillId="0" borderId="3" xfId="0" applyNumberFormat="1" applyFont="1" applyBorder="1">
      <alignment vertical="top"/>
    </xf>
    <xf numFmtId="49" fontId="2" fillId="0" borderId="0" xfId="0" applyNumberFormat="1" applyFont="1">
      <alignment vertical="top"/>
    </xf>
    <xf numFmtId="0" fontId="8" fillId="6" borderId="0" xfId="0" applyNumberFormat="1" applyFont="1" applyFill="1" applyAlignment="1">
      <alignment vertical="top" wrapText="1"/>
    </xf>
    <xf numFmtId="49" fontId="96" fillId="10" borderId="3" xfId="0" applyNumberFormat="1" applyFont="1" applyFill="1" applyBorder="1" applyAlignment="1" applyProtection="1">
      <alignment horizontal="left" vertical="center" wrapText="1"/>
      <protection locked="0"/>
    </xf>
    <xf numFmtId="0" fontId="8" fillId="6" borderId="0" xfId="0" applyNumberFormat="1" applyFont="1" applyFill="1" applyAlignment="1">
      <alignment horizontal="center" vertical="center" wrapText="1"/>
    </xf>
    <xf numFmtId="49" fontId="8" fillId="0" borderId="0" xfId="0" applyNumberFormat="1" applyFont="1" applyAlignment="1">
      <alignment horizontal="center" vertical="center" wrapText="1"/>
    </xf>
    <xf numFmtId="0" fontId="8" fillId="0" borderId="15" xfId="0" applyNumberFormat="1" applyFont="1" applyBorder="1" applyAlignment="1">
      <alignment horizontal="center" vertical="center" wrapText="1"/>
    </xf>
    <xf numFmtId="49" fontId="97" fillId="0" borderId="0" xfId="0" applyNumberFormat="1" applyFont="1" applyAlignment="1">
      <alignment horizontal="center" vertical="top" wrapText="1"/>
    </xf>
    <xf numFmtId="49" fontId="0" fillId="5" borderId="27" xfId="0" applyNumberFormat="1" applyFont="1" applyFill="1" applyBorder="1">
      <alignment vertical="top"/>
    </xf>
    <xf numFmtId="49" fontId="0" fillId="0" borderId="27" xfId="0" applyNumberFormat="1" applyFont="1" applyBorder="1">
      <alignment vertical="top"/>
    </xf>
    <xf numFmtId="49" fontId="0" fillId="10" borderId="27" xfId="0" applyNumberFormat="1" applyFont="1" applyFill="1" applyBorder="1" applyProtection="1">
      <alignment vertical="top"/>
      <protection locked="0"/>
    </xf>
    <xf numFmtId="49" fontId="0" fillId="10" borderId="8" xfId="0" applyNumberFormat="1" applyFont="1" applyFill="1" applyBorder="1" applyProtection="1">
      <alignment vertical="top"/>
      <protection locked="0"/>
    </xf>
    <xf numFmtId="49" fontId="0" fillId="10" borderId="14" xfId="0" applyNumberFormat="1" applyFont="1" applyFill="1" applyBorder="1" applyProtection="1">
      <alignment vertical="top"/>
      <protection locked="0"/>
    </xf>
    <xf numFmtId="49" fontId="97" fillId="0" borderId="27" xfId="0" applyNumberFormat="1" applyFont="1" applyBorder="1" applyAlignment="1">
      <alignment horizontal="center" vertical="top" wrapText="1"/>
    </xf>
    <xf numFmtId="49" fontId="0" fillId="0" borderId="10" xfId="0" applyNumberFormat="1" applyFont="1" applyBorder="1">
      <alignment vertical="top"/>
    </xf>
    <xf numFmtId="49" fontId="0" fillId="0" borderId="13" xfId="0" applyNumberFormat="1" applyFont="1" applyBorder="1">
      <alignment vertical="top"/>
    </xf>
    <xf numFmtId="49" fontId="0" fillId="0" borderId="15" xfId="0" applyNumberFormat="1" applyFont="1" applyBorder="1">
      <alignment vertical="top"/>
    </xf>
    <xf numFmtId="49" fontId="0" fillId="0" borderId="0" xfId="0" applyNumberFormat="1" applyFont="1" applyAlignment="1">
      <alignment horizontal="left" vertical="top"/>
    </xf>
    <xf numFmtId="49" fontId="0" fillId="0" borderId="0" xfId="0" applyNumberFormat="1" applyFont="1" applyAlignment="1">
      <alignment vertical="center"/>
    </xf>
    <xf numFmtId="0" fontId="0" fillId="0" borderId="0" xfId="0" applyNumberFormat="1" applyFont="1" applyAlignment="1">
      <alignment vertical="center"/>
    </xf>
    <xf numFmtId="0" fontId="8" fillId="0" borderId="0" xfId="0" applyNumberFormat="1" applyFont="1" applyAlignment="1">
      <alignment horizontal="center" vertical="center" wrapText="1"/>
    </xf>
    <xf numFmtId="49" fontId="0" fillId="10" borderId="3" xfId="0" applyNumberFormat="1" applyFont="1" applyFill="1" applyBorder="1" applyAlignment="1" applyProtection="1">
      <alignment horizontal="left" vertical="center" wrapText="1"/>
      <protection locked="0"/>
    </xf>
    <xf numFmtId="0" fontId="0" fillId="0" borderId="0" xfId="0" applyNumberFormat="1" applyFont="1" applyAlignment="1">
      <alignment horizontal="left" vertical="center" indent="1"/>
    </xf>
    <xf numFmtId="0" fontId="0" fillId="0" borderId="0" xfId="0" applyNumberFormat="1" applyFont="1" applyAlignment="1">
      <alignment vertical="center"/>
    </xf>
    <xf numFmtId="0" fontId="0" fillId="8" borderId="6" xfId="0" applyNumberFormat="1" applyFont="1" applyFill="1" applyBorder="1" applyAlignment="1">
      <alignment vertical="center"/>
    </xf>
    <xf numFmtId="49" fontId="0" fillId="0" borderId="27" xfId="0" applyNumberFormat="1" applyFont="1" applyBorder="1" applyAlignment="1">
      <alignment horizontal="left" vertical="top"/>
    </xf>
    <xf numFmtId="49" fontId="0" fillId="11" borderId="27" xfId="0" applyNumberFormat="1" applyFont="1" applyFill="1" applyBorder="1" applyAlignment="1">
      <alignment horizontal="left" vertical="top"/>
    </xf>
    <xf numFmtId="49" fontId="0" fillId="7" borderId="27" xfId="0" applyNumberFormat="1" applyFont="1" applyFill="1" applyBorder="1" applyAlignment="1" applyProtection="1">
      <alignment horizontal="left" vertical="top"/>
      <protection locked="0"/>
    </xf>
    <xf numFmtId="49" fontId="0" fillId="11" borderId="27" xfId="0" applyNumberFormat="1" applyFont="1" applyFill="1" applyBorder="1" applyAlignment="1" applyProtection="1">
      <alignment horizontal="left" vertical="center" wrapText="1"/>
      <protection locked="0"/>
    </xf>
    <xf numFmtId="49" fontId="0" fillId="7" borderId="27" xfId="0" applyNumberFormat="1" applyFont="1" applyFill="1" applyBorder="1" applyProtection="1">
      <alignment vertical="top"/>
      <protection locked="0"/>
    </xf>
    <xf numFmtId="49" fontId="0" fillId="0" borderId="10" xfId="0" applyNumberFormat="1" applyFont="1" applyBorder="1" applyAlignment="1">
      <alignment horizontal="left" vertical="center" wrapText="1"/>
    </xf>
    <xf numFmtId="0" fontId="0" fillId="0" borderId="0" xfId="0" applyNumberFormat="1" applyFont="1" applyAlignment="1">
      <alignment vertical="center"/>
    </xf>
    <xf numFmtId="0" fontId="0" fillId="0" borderId="19" xfId="0" applyNumberFormat="1" applyFont="1" applyBorder="1" applyAlignment="1">
      <alignment vertical="center"/>
    </xf>
    <xf numFmtId="49" fontId="8" fillId="0" borderId="27" xfId="0" applyNumberFormat="1" applyFont="1" applyBorder="1" applyAlignment="1">
      <alignment vertical="center" wrapText="1"/>
    </xf>
    <xf numFmtId="49" fontId="8" fillId="0" borderId="27" xfId="0" applyNumberFormat="1" applyFont="1" applyBorder="1" applyAlignment="1">
      <alignment horizontal="center" vertical="center" wrapText="1"/>
    </xf>
    <xf numFmtId="49" fontId="8" fillId="0" borderId="10" xfId="0" applyNumberFormat="1" applyFont="1" applyBorder="1" applyAlignment="1">
      <alignment vertical="center" wrapText="1"/>
    </xf>
    <xf numFmtId="49" fontId="8" fillId="0" borderId="0" xfId="0" applyNumberFormat="1" applyFont="1" applyAlignment="1">
      <alignment vertical="center" wrapText="1"/>
    </xf>
    <xf numFmtId="49" fontId="8" fillId="0" borderId="0" xfId="0" applyNumberFormat="1" applyFont="1" applyAlignment="1">
      <alignment horizontal="center" vertical="center" wrapText="1"/>
    </xf>
    <xf numFmtId="0" fontId="2" fillId="10" borderId="3" xfId="0" applyNumberFormat="1" applyFont="1" applyFill="1" applyBorder="1" applyAlignment="1" applyProtection="1">
      <alignment horizontal="left" vertical="center" wrapText="1"/>
      <protection locked="0"/>
    </xf>
    <xf numFmtId="0" fontId="0" fillId="0" borderId="14" xfId="0" applyNumberFormat="1" applyFont="1" applyBorder="1" applyAlignment="1">
      <alignment horizontal="center" vertical="center" wrapText="1"/>
    </xf>
    <xf numFmtId="0" fontId="2" fillId="6" borderId="14" xfId="0" applyNumberFormat="1" applyFont="1" applyFill="1" applyBorder="1" applyAlignment="1">
      <alignment horizontal="center" vertical="center" wrapText="1"/>
    </xf>
    <xf numFmtId="0" fontId="2" fillId="0" borderId="5" xfId="0" applyNumberFormat="1" applyFont="1" applyBorder="1" applyAlignment="1">
      <alignment horizontal="center" vertical="center" wrapText="1"/>
    </xf>
    <xf numFmtId="0" fontId="2" fillId="0" borderId="4" xfId="0" applyNumberFormat="1" applyFont="1" applyBorder="1" applyAlignment="1">
      <alignment horizontal="center" vertical="center" wrapText="1"/>
    </xf>
    <xf numFmtId="4" fontId="2" fillId="0" borderId="3" xfId="0" applyNumberFormat="1" applyFont="1" applyBorder="1" applyAlignment="1">
      <alignment horizontal="center" vertical="center" wrapText="1"/>
    </xf>
    <xf numFmtId="49" fontId="2" fillId="11" borderId="3" xfId="0" applyNumberFormat="1" applyFont="1" applyFill="1" applyBorder="1" applyAlignment="1">
      <alignment horizontal="center" vertical="center" wrapText="1"/>
    </xf>
    <xf numFmtId="0" fontId="2" fillId="0" borderId="0" xfId="0" applyNumberFormat="1" applyFont="1" applyAlignment="1">
      <alignment horizontal="center" vertical="center" wrapText="1"/>
    </xf>
    <xf numFmtId="49" fontId="2" fillId="0" borderId="0" xfId="0" applyNumberFormat="1" applyFont="1" applyAlignment="1">
      <alignment horizontal="center" vertical="center" wrapText="1"/>
    </xf>
    <xf numFmtId="0" fontId="2" fillId="0" borderId="8" xfId="0" applyNumberFormat="1" applyFont="1" applyBorder="1" applyAlignment="1">
      <alignment horizontal="center" vertical="center" wrapText="1"/>
    </xf>
    <xf numFmtId="0" fontId="2" fillId="0" borderId="6" xfId="0" applyNumberFormat="1" applyFont="1" applyBorder="1" applyAlignment="1">
      <alignment horizontal="center" vertical="center" wrapText="1"/>
    </xf>
    <xf numFmtId="0" fontId="2" fillId="0" borderId="3" xfId="0" applyNumberFormat="1" applyFont="1" applyBorder="1" applyAlignment="1">
      <alignment horizontal="center" vertical="center" wrapText="1"/>
    </xf>
    <xf numFmtId="49" fontId="2" fillId="7" borderId="3" xfId="0" applyNumberFormat="1" applyFont="1" applyFill="1" applyBorder="1" applyAlignment="1" applyProtection="1">
      <alignment horizontal="left" vertical="center" wrapText="1"/>
      <protection locked="0"/>
    </xf>
    <xf numFmtId="49" fontId="2" fillId="11" borderId="3" xfId="0" applyNumberFormat="1" applyFont="1" applyFill="1" applyBorder="1" applyAlignment="1">
      <alignment horizontal="left" vertical="center" wrapText="1"/>
    </xf>
    <xf numFmtId="49" fontId="2" fillId="10" borderId="3" xfId="0" applyNumberFormat="1" applyFont="1" applyFill="1" applyBorder="1" applyAlignment="1" applyProtection="1">
      <alignment horizontal="left" vertical="center" wrapText="1"/>
      <protection locked="0"/>
    </xf>
    <xf numFmtId="0" fontId="2" fillId="0" borderId="8" xfId="0" applyNumberFormat="1" applyFont="1" applyBorder="1" applyAlignment="1">
      <alignment horizontal="left" vertical="center" wrapText="1" indent="1"/>
    </xf>
    <xf numFmtId="0" fontId="2" fillId="0" borderId="14" xfId="0" applyNumberFormat="1" applyFont="1" applyBorder="1" applyAlignment="1">
      <alignment horizontal="left" vertical="center" wrapText="1" indent="1"/>
    </xf>
    <xf numFmtId="0" fontId="2" fillId="0" borderId="19" xfId="0" applyNumberFormat="1" applyFont="1" applyBorder="1" applyAlignment="1">
      <alignment horizontal="left" vertical="center" wrapText="1" indent="1"/>
    </xf>
    <xf numFmtId="0" fontId="20" fillId="0" borderId="0" xfId="0" applyNumberFormat="1" applyFont="1" applyAlignment="1">
      <alignment horizontal="center" vertical="center" wrapText="1"/>
    </xf>
    <xf numFmtId="0" fontId="19" fillId="0" borderId="0" xfId="0" applyNumberFormat="1" applyFont="1" applyAlignment="1">
      <alignment horizontal="center" vertical="center" wrapText="1"/>
    </xf>
    <xf numFmtId="0" fontId="2" fillId="5" borderId="5" xfId="0" applyNumberFormat="1" applyFont="1" applyFill="1" applyBorder="1" applyAlignment="1">
      <alignment horizontal="left" vertical="top" wrapText="1" indent="1"/>
    </xf>
    <xf numFmtId="0" fontId="2" fillId="0" borderId="6" xfId="0" applyNumberFormat="1" applyFont="1" applyBorder="1" applyAlignment="1">
      <alignment horizontal="right" vertical="center" wrapText="1" indent="1"/>
    </xf>
    <xf numFmtId="0" fontId="2" fillId="0" borderId="10" xfId="0" applyNumberFormat="1" applyFont="1" applyBorder="1" applyAlignment="1">
      <alignment horizontal="left" vertical="center" wrapText="1" indent="1"/>
    </xf>
    <xf numFmtId="49" fontId="2" fillId="0" borderId="0" xfId="0" applyNumberFormat="1" applyFont="1" applyAlignment="1">
      <alignment vertical="center" wrapText="1"/>
    </xf>
    <xf numFmtId="49" fontId="2" fillId="7" borderId="5" xfId="0" applyNumberFormat="1" applyFont="1" applyFill="1" applyBorder="1" applyAlignment="1" applyProtection="1">
      <alignment horizontal="left" vertical="center" wrapText="1"/>
      <protection locked="0"/>
    </xf>
    <xf numFmtId="0" fontId="2" fillId="5" borderId="5" xfId="0" applyNumberFormat="1" applyFont="1" applyFill="1" applyBorder="1" applyAlignment="1">
      <alignment horizontal="left" vertical="top" wrapText="1"/>
    </xf>
    <xf numFmtId="0" fontId="2" fillId="0" borderId="0" xfId="0" applyNumberFormat="1" applyFont="1" applyAlignment="1">
      <alignment horizontal="left" vertical="center" wrapText="1"/>
    </xf>
    <xf numFmtId="49" fontId="0" fillId="0" borderId="0" xfId="0" applyNumberFormat="1" applyFont="1">
      <alignment vertical="top"/>
    </xf>
    <xf numFmtId="49" fontId="98" fillId="10" borderId="3" xfId="0" applyNumberFormat="1" applyFont="1" applyFill="1" applyBorder="1" applyAlignment="1" applyProtection="1">
      <alignment horizontal="left" vertical="center" wrapText="1" indent="1"/>
      <protection locked="0"/>
    </xf>
    <xf numFmtId="49" fontId="48" fillId="10" borderId="3" xfId="0" applyNumberFormat="1" applyFont="1" applyFill="1" applyBorder="1" applyAlignment="1" applyProtection="1">
      <alignment horizontal="left" vertical="center" wrapText="1" indent="1"/>
      <protection locked="0"/>
    </xf>
    <xf numFmtId="0" fontId="2" fillId="8" borderId="6" xfId="0" applyNumberFormat="1" applyFont="1" applyFill="1" applyBorder="1" applyAlignment="1">
      <alignment vertical="center" wrapText="1"/>
    </xf>
    <xf numFmtId="0" fontId="2" fillId="8" borderId="6" xfId="0" applyNumberFormat="1" applyFont="1" applyFill="1" applyBorder="1" applyAlignment="1">
      <alignment vertical="center" wrapText="1"/>
    </xf>
    <xf numFmtId="0" fontId="2" fillId="8" borderId="6" xfId="0" applyNumberFormat="1" applyFont="1" applyFill="1" applyBorder="1" applyAlignment="1">
      <alignment vertical="center" wrapText="1"/>
    </xf>
    <xf numFmtId="0" fontId="2" fillId="8" borderId="10" xfId="0" applyNumberFormat="1" applyFont="1" applyFill="1" applyBorder="1" applyAlignment="1">
      <alignment vertical="center" wrapText="1"/>
    </xf>
    <xf numFmtId="0" fontId="2" fillId="8" borderId="6" xfId="0" applyNumberFormat="1" applyFont="1" applyFill="1" applyBorder="1" applyAlignment="1">
      <alignment vertical="center" wrapText="1"/>
    </xf>
    <xf numFmtId="0" fontId="2" fillId="8" borderId="10" xfId="0" applyNumberFormat="1" applyFont="1" applyFill="1" applyBorder="1" applyAlignment="1">
      <alignment vertical="center" wrapText="1"/>
    </xf>
    <xf numFmtId="0" fontId="2" fillId="8" borderId="10" xfId="0" applyNumberFormat="1" applyFont="1" applyFill="1" applyBorder="1" applyAlignment="1">
      <alignment vertical="center" wrapText="1"/>
    </xf>
    <xf numFmtId="0" fontId="2" fillId="8" borderId="6" xfId="0" applyNumberFormat="1" applyFont="1" applyFill="1" applyBorder="1" applyAlignment="1">
      <alignment vertical="center" wrapText="1"/>
    </xf>
    <xf numFmtId="0" fontId="2" fillId="8" borderId="19" xfId="0" applyNumberFormat="1" applyFont="1" applyFill="1" applyBorder="1" applyAlignment="1">
      <alignment vertical="center" wrapText="1"/>
    </xf>
    <xf numFmtId="0" fontId="19" fillId="8" borderId="4" xfId="0" applyNumberFormat="1" applyFont="1" applyFill="1" applyBorder="1" applyAlignment="1">
      <alignment vertical="center" wrapText="1"/>
    </xf>
    <xf numFmtId="0" fontId="19" fillId="8" borderId="4" xfId="0" applyNumberFormat="1" applyFont="1" applyFill="1" applyBorder="1" applyAlignment="1">
      <alignment vertical="center" wrapText="1"/>
    </xf>
    <xf numFmtId="0" fontId="19" fillId="8" borderId="4" xfId="0" applyNumberFormat="1" applyFont="1" applyFill="1" applyBorder="1" applyAlignment="1">
      <alignment vertical="center" wrapText="1"/>
    </xf>
    <xf numFmtId="0" fontId="19" fillId="8" borderId="4" xfId="0" applyNumberFormat="1" applyFont="1" applyFill="1" applyBorder="1" applyAlignment="1">
      <alignment vertical="center" wrapText="1"/>
    </xf>
    <xf numFmtId="0" fontId="19" fillId="8" borderId="4" xfId="0" applyNumberFormat="1" applyFont="1" applyFill="1" applyBorder="1" applyAlignment="1">
      <alignment vertical="center" wrapText="1"/>
    </xf>
    <xf numFmtId="0" fontId="19" fillId="8" borderId="4" xfId="0" applyNumberFormat="1" applyFont="1" applyFill="1" applyBorder="1" applyAlignment="1">
      <alignment vertical="center" wrapText="1"/>
    </xf>
    <xf numFmtId="0" fontId="19" fillId="8" borderId="4" xfId="0" applyNumberFormat="1" applyFont="1" applyFill="1" applyBorder="1" applyAlignment="1">
      <alignment vertical="center" wrapText="1"/>
    </xf>
    <xf numFmtId="0" fontId="19" fillId="8" borderId="4" xfId="0" applyNumberFormat="1" applyFont="1" applyFill="1" applyBorder="1" applyAlignment="1">
      <alignment vertical="center" wrapText="1"/>
    </xf>
    <xf numFmtId="0" fontId="19" fillId="8" borderId="4" xfId="0" applyNumberFormat="1" applyFont="1" applyFill="1" applyBorder="1" applyAlignment="1">
      <alignment vertical="center" wrapText="1"/>
    </xf>
    <xf numFmtId="0" fontId="19" fillId="8" borderId="4" xfId="0" applyNumberFormat="1" applyFont="1" applyFill="1" applyBorder="1" applyAlignment="1">
      <alignment vertical="center" wrapText="1"/>
    </xf>
    <xf numFmtId="0" fontId="19" fillId="8" borderId="4" xfId="0" applyNumberFormat="1" applyFont="1" applyFill="1" applyBorder="1" applyAlignment="1">
      <alignment vertical="center" wrapText="1"/>
    </xf>
    <xf numFmtId="0" fontId="19" fillId="8" borderId="4" xfId="0" applyNumberFormat="1" applyFont="1" applyFill="1" applyBorder="1" applyAlignment="1">
      <alignment vertical="center" wrapText="1"/>
    </xf>
    <xf numFmtId="0" fontId="19" fillId="8" borderId="4" xfId="0" applyNumberFormat="1" applyFont="1" applyFill="1" applyBorder="1" applyAlignment="1">
      <alignment vertical="center" wrapText="1"/>
    </xf>
    <xf numFmtId="0" fontId="19" fillId="8" borderId="4" xfId="0" applyNumberFormat="1" applyFont="1" applyFill="1" applyBorder="1" applyAlignment="1">
      <alignment vertical="center" wrapText="1"/>
    </xf>
    <xf numFmtId="0" fontId="19" fillId="8" borderId="4" xfId="0" applyNumberFormat="1" applyFont="1" applyFill="1" applyBorder="1" applyAlignment="1">
      <alignment vertical="center" wrapText="1"/>
    </xf>
    <xf numFmtId="0" fontId="19" fillId="8" borderId="4" xfId="0" applyNumberFormat="1" applyFont="1" applyFill="1" applyBorder="1" applyAlignment="1">
      <alignment vertical="center" wrapText="1"/>
    </xf>
    <xf numFmtId="49" fontId="0" fillId="0" borderId="16" xfId="0" applyNumberFormat="1" applyFont="1" applyBorder="1" applyAlignment="1">
      <alignment horizontal="center" vertical="center"/>
    </xf>
    <xf numFmtId="49" fontId="0" fillId="6" borderId="0" xfId="0" applyNumberFormat="1" applyFont="1" applyFill="1">
      <alignment vertical="top"/>
    </xf>
    <xf numFmtId="0" fontId="18" fillId="17" borderId="53" xfId="0" applyNumberFormat="1" applyFont="1" applyFill="1" applyBorder="1" applyAlignment="1">
      <alignment horizontal="right" vertical="center" wrapText="1" indent="1"/>
    </xf>
    <xf numFmtId="0" fontId="18" fillId="17" borderId="60" xfId="0" applyNumberFormat="1" applyFont="1" applyFill="1" applyBorder="1" applyAlignment="1">
      <alignment horizontal="right" vertical="center" wrapText="1" indent="1"/>
    </xf>
    <xf numFmtId="0" fontId="18" fillId="17" borderId="29" xfId="0" applyNumberFormat="1" applyFont="1" applyFill="1" applyBorder="1" applyAlignment="1">
      <alignment horizontal="right" vertical="center" wrapText="1" indent="1"/>
    </xf>
    <xf numFmtId="0" fontId="18" fillId="17" borderId="0" xfId="0" applyNumberFormat="1" applyFont="1" applyFill="1" applyAlignment="1">
      <alignment horizontal="right" vertical="center" wrapText="1" indent="1"/>
    </xf>
    <xf numFmtId="0" fontId="94" fillId="0" borderId="0" xfId="0" applyNumberFormat="1" applyFont="1" applyAlignment="1">
      <alignment vertical="center" wrapText="1"/>
    </xf>
    <xf numFmtId="0" fontId="18" fillId="17" borderId="59" xfId="0" applyNumberFormat="1" applyFont="1" applyFill="1" applyBorder="1" applyAlignment="1">
      <alignment horizontal="right" vertical="center" wrapText="1" indent="1"/>
    </xf>
    <xf numFmtId="0" fontId="18" fillId="17" borderId="55" xfId="0" applyNumberFormat="1" applyFont="1" applyFill="1" applyBorder="1" applyAlignment="1">
      <alignment horizontal="right" vertical="center" wrapText="1" indent="1"/>
    </xf>
    <xf numFmtId="0" fontId="18" fillId="17" borderId="30" xfId="0" applyNumberFormat="1" applyFont="1" applyFill="1" applyBorder="1" applyAlignment="1">
      <alignment horizontal="right" vertical="center" wrapText="1" indent="1"/>
    </xf>
    <xf numFmtId="0" fontId="94" fillId="0" borderId="0" xfId="0" applyNumberFormat="1" applyFont="1" applyAlignment="1">
      <alignment vertical="top" wrapText="1"/>
    </xf>
    <xf numFmtId="49" fontId="39" fillId="0" borderId="0" xfId="0" applyNumberFormat="1" applyFont="1" applyAlignment="1">
      <alignment vertical="top" wrapText="1"/>
    </xf>
    <xf numFmtId="0" fontId="76" fillId="0" borderId="0" xfId="0" applyNumberFormat="1" applyFont="1" applyAlignment="1">
      <alignment vertical="center" wrapText="1"/>
    </xf>
    <xf numFmtId="0" fontId="76" fillId="0" borderId="0" xfId="0" applyNumberFormat="1" applyFont="1" applyAlignment="1">
      <alignment vertical="center"/>
    </xf>
    <xf numFmtId="0" fontId="18" fillId="25" borderId="56" xfId="0" applyNumberFormat="1" applyFont="1" applyFill="1" applyBorder="1" applyAlignment="1">
      <alignment horizontal="center" vertical="center" wrapText="1"/>
    </xf>
    <xf numFmtId="0" fontId="18" fillId="25" borderId="57" xfId="0" applyNumberFormat="1" applyFont="1" applyFill="1" applyBorder="1" applyAlignment="1">
      <alignment horizontal="center" vertical="center" wrapText="1"/>
    </xf>
    <xf numFmtId="0" fontId="18" fillId="25" borderId="58" xfId="0" applyNumberFormat="1" applyFont="1" applyFill="1" applyBorder="1" applyAlignment="1">
      <alignment horizontal="center" vertical="center" wrapText="1"/>
    </xf>
    <xf numFmtId="0" fontId="94" fillId="0" borderId="29" xfId="0" applyNumberFormat="1" applyFont="1" applyBorder="1" applyAlignment="1">
      <alignment vertical="center" wrapText="1"/>
    </xf>
    <xf numFmtId="0" fontId="94" fillId="0" borderId="29" xfId="0" applyNumberFormat="1" applyFont="1" applyBorder="1" applyAlignment="1">
      <alignment horizontal="left" vertical="center" wrapText="1"/>
    </xf>
    <xf numFmtId="0" fontId="94" fillId="0" borderId="0" xfId="0" applyNumberFormat="1" applyFont="1" applyAlignment="1">
      <alignment horizontal="left" vertical="center" wrapText="1"/>
    </xf>
    <xf numFmtId="0" fontId="2" fillId="0" borderId="4" xfId="0" applyNumberFormat="1" applyFont="1" applyBorder="1" applyAlignment="1">
      <alignment horizontal="center" vertical="center" wrapText="1"/>
    </xf>
    <xf numFmtId="0" fontId="2" fillId="0" borderId="5" xfId="0" applyNumberFormat="1" applyFont="1" applyBorder="1" applyAlignment="1">
      <alignment horizontal="center" vertical="center" wrapText="1"/>
    </xf>
    <xf numFmtId="0" fontId="70" fillId="0" borderId="0" xfId="0" applyNumberFormat="1" applyFont="1" applyAlignment="1">
      <alignment horizontal="left" vertical="center" wrapText="1"/>
    </xf>
    <xf numFmtId="14" fontId="67" fillId="0" borderId="3" xfId="0" applyNumberFormat="1" applyFont="1" applyBorder="1" applyAlignment="1">
      <alignment horizontal="center" vertical="center" wrapText="1"/>
    </xf>
    <xf numFmtId="0" fontId="2" fillId="0" borderId="0" xfId="0" applyNumberFormat="1" applyFont="1" applyAlignment="1">
      <alignment horizontal="center" vertical="center" wrapText="1"/>
    </xf>
    <xf numFmtId="0" fontId="2" fillId="0" borderId="6" xfId="0" applyNumberFormat="1" applyFont="1" applyBorder="1" applyAlignment="1">
      <alignment horizontal="left" vertical="center" wrapText="1" indent="1"/>
    </xf>
    <xf numFmtId="0" fontId="2" fillId="0" borderId="6" xfId="0" applyNumberFormat="1" applyFont="1" applyBorder="1" applyAlignment="1">
      <alignment horizontal="center" vertical="center" wrapText="1"/>
    </xf>
    <xf numFmtId="4" fontId="2" fillId="0" borderId="3" xfId="0" applyNumberFormat="1" applyFont="1" applyBorder="1" applyAlignment="1">
      <alignment horizontal="center" vertical="center" wrapText="1"/>
    </xf>
    <xf numFmtId="49" fontId="7" fillId="0" borderId="62" xfId="0" applyNumberFormat="1" applyFont="1" applyBorder="1" applyAlignment="1">
      <alignment horizontal="center" vertical="center" wrapText="1"/>
    </xf>
    <xf numFmtId="49" fontId="7" fillId="0" borderId="63" xfId="0" applyNumberFormat="1" applyFont="1" applyBorder="1" applyAlignment="1">
      <alignment horizontal="center" vertical="center" wrapText="1"/>
    </xf>
    <xf numFmtId="49" fontId="7" fillId="0" borderId="5" xfId="0" applyNumberFormat="1" applyFont="1" applyBorder="1" applyAlignment="1">
      <alignment horizontal="center" vertical="center" wrapText="1"/>
    </xf>
    <xf numFmtId="49" fontId="7" fillId="0" borderId="4" xfId="0" applyNumberFormat="1" applyFont="1" applyBorder="1" applyAlignment="1">
      <alignment horizontal="center" vertical="center" wrapText="1"/>
    </xf>
    <xf numFmtId="0" fontId="2" fillId="0" borderId="11" xfId="0" applyNumberFormat="1" applyFont="1" applyBorder="1" applyAlignment="1">
      <alignment horizontal="left" vertical="center" wrapText="1" indent="1"/>
    </xf>
    <xf numFmtId="0" fontId="2" fillId="0" borderId="8" xfId="0" applyNumberFormat="1" applyFont="1" applyBorder="1" applyAlignment="1">
      <alignment horizontal="left" vertical="center" wrapText="1" indent="1"/>
    </xf>
    <xf numFmtId="0" fontId="2" fillId="0" borderId="28" xfId="0" applyNumberFormat="1" applyFont="1" applyBorder="1" applyAlignment="1">
      <alignment horizontal="left" vertical="center" wrapText="1" indent="1"/>
    </xf>
    <xf numFmtId="0" fontId="2" fillId="0" borderId="21" xfId="0" applyNumberFormat="1" applyFont="1" applyBorder="1" applyAlignment="1">
      <alignment horizontal="left" vertical="center" indent="1"/>
    </xf>
    <xf numFmtId="0" fontId="2" fillId="0" borderId="14" xfId="0" applyNumberFormat="1" applyFont="1" applyBorder="1" applyAlignment="1">
      <alignment horizontal="left" vertical="center" indent="1"/>
    </xf>
    <xf numFmtId="0" fontId="2" fillId="0" borderId="18" xfId="0" applyNumberFormat="1" applyFont="1" applyBorder="1" applyAlignment="1">
      <alignment horizontal="left" vertical="center" indent="1"/>
    </xf>
    <xf numFmtId="0" fontId="2" fillId="13" borderId="0" xfId="0" applyNumberFormat="1" applyFont="1" applyFill="1" applyAlignment="1">
      <alignment horizontal="center" vertical="center" wrapText="1"/>
    </xf>
    <xf numFmtId="0" fontId="2" fillId="0" borderId="3" xfId="0" applyNumberFormat="1" applyFont="1" applyBorder="1" applyAlignment="1">
      <alignment horizontal="center" vertical="center" wrapText="1"/>
    </xf>
    <xf numFmtId="0" fontId="48" fillId="0" borderId="28" xfId="0" applyNumberFormat="1" applyFont="1" applyBorder="1" applyAlignment="1">
      <alignment horizontal="center" vertical="center" wrapText="1"/>
    </xf>
    <xf numFmtId="0" fontId="48" fillId="0" borderId="10" xfId="0" applyNumberFormat="1" applyFont="1" applyBorder="1" applyAlignment="1">
      <alignment horizontal="center" vertical="center" wrapText="1"/>
    </xf>
    <xf numFmtId="0" fontId="0" fillId="0" borderId="0" xfId="0" applyNumberFormat="1" applyFont="1" applyAlignment="1">
      <alignment horizontal="left" vertical="center" wrapText="1" indent="2"/>
    </xf>
    <xf numFmtId="0" fontId="0" fillId="0" borderId="0" xfId="0" applyNumberFormat="1" applyFont="1" applyAlignment="1">
      <alignment horizontal="left" vertical="center" indent="2"/>
    </xf>
    <xf numFmtId="0" fontId="48" fillId="0" borderId="3" xfId="0" applyNumberFormat="1" applyFont="1" applyBorder="1" applyAlignment="1">
      <alignment horizontal="center" vertical="center" wrapText="1"/>
    </xf>
    <xf numFmtId="0" fontId="2" fillId="0" borderId="64" xfId="0" applyNumberFormat="1" applyFont="1" applyBorder="1" applyAlignment="1">
      <alignment horizontal="center" vertical="center" wrapText="1"/>
    </xf>
    <xf numFmtId="0" fontId="2" fillId="0" borderId="65" xfId="0" applyNumberFormat="1" applyFont="1" applyBorder="1" applyAlignment="1">
      <alignment horizontal="center" vertical="center" wrapText="1"/>
    </xf>
    <xf numFmtId="0" fontId="2" fillId="6" borderId="8" xfId="0" applyNumberFormat="1" applyFont="1" applyFill="1" applyBorder="1" applyAlignment="1">
      <alignment horizontal="left" vertical="center" wrapText="1" indent="1"/>
    </xf>
    <xf numFmtId="49" fontId="0" fillId="0" borderId="3" xfId="0" applyNumberFormat="1" applyFont="1" applyBorder="1">
      <alignment vertical="top"/>
    </xf>
    <xf numFmtId="0" fontId="2" fillId="6" borderId="14" xfId="0" applyNumberFormat="1" applyFont="1" applyFill="1" applyBorder="1" applyAlignment="1">
      <alignment horizontal="left" vertical="center" wrapText="1" indent="1"/>
    </xf>
    <xf numFmtId="49" fontId="2" fillId="11" borderId="3" xfId="0" applyNumberFormat="1" applyFont="1" applyFill="1" applyBorder="1" applyAlignment="1">
      <alignment horizontal="center" vertical="center" wrapText="1"/>
    </xf>
    <xf numFmtId="49" fontId="2" fillId="0" borderId="3" xfId="0" applyNumberFormat="1" applyFont="1" applyBorder="1" applyAlignment="1">
      <alignment horizontal="center" vertical="center" wrapText="1"/>
    </xf>
    <xf numFmtId="0" fontId="2" fillId="11" borderId="8" xfId="0" applyNumberFormat="1" applyFont="1" applyFill="1" applyBorder="1" applyAlignment="1">
      <alignment horizontal="left" vertical="center" wrapText="1" indent="2"/>
    </xf>
    <xf numFmtId="0" fontId="2" fillId="11" borderId="27" xfId="0" applyNumberFormat="1" applyFont="1" applyFill="1" applyBorder="1" applyAlignment="1">
      <alignment horizontal="left" vertical="center" wrapText="1" indent="2"/>
    </xf>
    <xf numFmtId="0" fontId="2" fillId="11" borderId="14" xfId="0" applyNumberFormat="1" applyFont="1" applyFill="1" applyBorder="1" applyAlignment="1">
      <alignment horizontal="left" vertical="center" wrapText="1" indent="2"/>
    </xf>
    <xf numFmtId="49" fontId="2" fillId="11" borderId="14" xfId="0" applyNumberFormat="1" applyFont="1" applyFill="1" applyBorder="1" applyAlignment="1">
      <alignment horizontal="center" vertical="center" wrapText="1"/>
    </xf>
    <xf numFmtId="14" fontId="54" fillId="0" borderId="61" xfId="0" applyNumberFormat="1" applyFont="1" applyBorder="1" applyAlignment="1">
      <alignment horizontal="center" vertical="center" wrapText="1"/>
    </xf>
    <xf numFmtId="0" fontId="2" fillId="0" borderId="61" xfId="0" applyNumberFormat="1" applyFont="1" applyBorder="1" applyAlignment="1">
      <alignment horizontal="center" vertical="center" wrapText="1"/>
    </xf>
    <xf numFmtId="49" fontId="2" fillId="0" borderId="10" xfId="0" applyNumberFormat="1" applyFont="1" applyBorder="1" applyAlignment="1">
      <alignment horizontal="center" vertical="center" wrapText="1"/>
    </xf>
    <xf numFmtId="49" fontId="2" fillId="0" borderId="0" xfId="0" applyNumberFormat="1" applyFont="1" applyAlignment="1">
      <alignment horizontal="center" vertical="center" wrapText="1"/>
    </xf>
    <xf numFmtId="0" fontId="0" fillId="0" borderId="3" xfId="0" applyNumberFormat="1" applyFont="1" applyBorder="1" applyAlignment="1">
      <alignment horizontal="center" vertical="top"/>
    </xf>
    <xf numFmtId="0" fontId="2" fillId="0" borderId="3" xfId="0" applyNumberFormat="1" applyFont="1" applyBorder="1" applyAlignment="1">
      <alignment horizontal="left" vertical="top" wrapText="1"/>
    </xf>
    <xf numFmtId="49" fontId="0" fillId="0" borderId="3" xfId="0" applyNumberFormat="1" applyFont="1" applyBorder="1" applyAlignment="1">
      <alignment horizontal="left" vertical="top"/>
    </xf>
    <xf numFmtId="0" fontId="2" fillId="11" borderId="8" xfId="0" applyNumberFormat="1" applyFont="1" applyFill="1" applyBorder="1" applyAlignment="1">
      <alignment horizontal="center" vertical="top" wrapText="1"/>
    </xf>
    <xf numFmtId="0" fontId="2" fillId="11" borderId="27" xfId="0" applyNumberFormat="1" applyFont="1" applyFill="1" applyBorder="1" applyAlignment="1">
      <alignment horizontal="center" vertical="top" wrapText="1"/>
    </xf>
    <xf numFmtId="0" fontId="2" fillId="11" borderId="14" xfId="0" applyNumberFormat="1" applyFont="1" applyFill="1" applyBorder="1" applyAlignment="1">
      <alignment horizontal="center" vertical="top" wrapText="1"/>
    </xf>
    <xf numFmtId="0" fontId="0" fillId="0" borderId="28" xfId="0" applyNumberFormat="1" applyFont="1" applyBorder="1" applyAlignment="1">
      <alignment horizontal="center" vertical="center"/>
    </xf>
    <xf numFmtId="0" fontId="0" fillId="0" borderId="13" xfId="0" applyNumberFormat="1" applyFont="1" applyBorder="1" applyAlignment="1">
      <alignment horizontal="center" vertical="center"/>
    </xf>
    <xf numFmtId="0" fontId="0" fillId="0" borderId="10" xfId="0" applyNumberFormat="1" applyFont="1" applyBorder="1" applyAlignment="1">
      <alignment horizontal="center" vertical="center"/>
    </xf>
    <xf numFmtId="0" fontId="0" fillId="0" borderId="0" xfId="0" applyNumberFormat="1" applyFont="1" applyAlignment="1">
      <alignment horizontal="center" vertical="center"/>
    </xf>
    <xf numFmtId="49" fontId="2" fillId="0" borderId="10" xfId="0" applyNumberFormat="1" applyFont="1" applyBorder="1" applyAlignment="1">
      <alignment horizontal="left" vertical="center" wrapText="1"/>
    </xf>
    <xf numFmtId="49" fontId="2" fillId="0" borderId="0" xfId="0" applyNumberFormat="1" applyFont="1" applyAlignment="1">
      <alignment horizontal="left" vertical="center" wrapText="1"/>
    </xf>
    <xf numFmtId="49" fontId="0" fillId="0" borderId="0" xfId="0" applyNumberFormat="1" applyFont="1" applyAlignment="1">
      <alignment horizontal="left" vertical="top"/>
    </xf>
    <xf numFmtId="0" fontId="0" fillId="0" borderId="10" xfId="0" applyNumberFormat="1" applyFont="1" applyBorder="1" applyAlignment="1">
      <alignment horizontal="left" vertical="center" wrapText="1"/>
    </xf>
    <xf numFmtId="0" fontId="0" fillId="0" borderId="0" xfId="0" applyNumberFormat="1" applyFont="1" applyAlignment="1">
      <alignment horizontal="left" vertical="center" wrapText="1"/>
    </xf>
    <xf numFmtId="49" fontId="0" fillId="0" borderId="0" xfId="0" applyNumberFormat="1" applyFont="1" applyAlignment="1">
      <alignment horizontal="left" vertical="center" wrapText="1"/>
    </xf>
    <xf numFmtId="49" fontId="0" fillId="0" borderId="10" xfId="0" applyNumberFormat="1" applyFont="1" applyBorder="1" applyAlignment="1">
      <alignment horizontal="left" vertical="center" wrapText="1"/>
    </xf>
    <xf numFmtId="0" fontId="0" fillId="0" borderId="0" xfId="0" quotePrefix="1" applyNumberFormat="1" applyFont="1" applyAlignment="1">
      <alignment horizontal="left" vertical="top" wrapText="1" indent="1"/>
    </xf>
    <xf numFmtId="0" fontId="0" fillId="0" borderId="0" xfId="0" applyNumberFormat="1" applyFont="1" applyAlignment="1">
      <alignment horizontal="left" vertical="top" wrapText="1" indent="1"/>
    </xf>
    <xf numFmtId="0" fontId="0" fillId="0" borderId="0" xfId="0" applyNumberFormat="1" applyFont="1" applyAlignment="1">
      <alignment horizontal="left" vertical="top" wrapText="1"/>
    </xf>
    <xf numFmtId="0" fontId="0" fillId="0" borderId="8" xfId="0" applyNumberFormat="1" applyFont="1" applyBorder="1" applyAlignment="1">
      <alignment horizontal="center" vertical="top"/>
    </xf>
    <xf numFmtId="0" fontId="0" fillId="0" borderId="27" xfId="0" applyNumberFormat="1" applyFont="1" applyBorder="1" applyAlignment="1">
      <alignment horizontal="center" vertical="top"/>
    </xf>
    <xf numFmtId="0" fontId="0" fillId="0" borderId="14" xfId="0" applyNumberFormat="1" applyFont="1" applyBorder="1" applyAlignment="1">
      <alignment horizontal="center" vertical="top"/>
    </xf>
    <xf numFmtId="0" fontId="2" fillId="0" borderId="8" xfId="0" applyNumberFormat="1" applyFont="1" applyBorder="1" applyAlignment="1">
      <alignment horizontal="left" vertical="top" wrapText="1"/>
    </xf>
    <xf numFmtId="0" fontId="2" fillId="0" borderId="27" xfId="0" applyNumberFormat="1" applyFont="1" applyBorder="1" applyAlignment="1">
      <alignment horizontal="left" vertical="top" wrapText="1"/>
    </xf>
    <xf numFmtId="0" fontId="2" fillId="0" borderId="14" xfId="0" applyNumberFormat="1" applyFont="1" applyBorder="1" applyAlignment="1">
      <alignment horizontal="left" vertical="top" wrapText="1"/>
    </xf>
    <xf numFmtId="49" fontId="20" fillId="6" borderId="19" xfId="0" applyNumberFormat="1" applyFont="1" applyFill="1" applyBorder="1" applyAlignment="1">
      <alignment horizontal="center" vertical="center" wrapText="1"/>
    </xf>
    <xf numFmtId="0" fontId="46" fillId="0" borderId="15" xfId="0" applyNumberFormat="1" applyFont="1" applyBorder="1" applyAlignment="1">
      <alignment horizontal="left" vertical="center" wrapText="1" indent="1"/>
    </xf>
    <xf numFmtId="0" fontId="46" fillId="0" borderId="27" xfId="0" applyNumberFormat="1" applyFont="1" applyBorder="1" applyAlignment="1">
      <alignment horizontal="left" vertical="center" wrapText="1" indent="1"/>
    </xf>
    <xf numFmtId="0" fontId="46" fillId="0" borderId="13" xfId="0" applyNumberFormat="1" applyFont="1" applyBorder="1" applyAlignment="1">
      <alignment horizontal="left" vertical="center" wrapText="1" indent="1"/>
    </xf>
    <xf numFmtId="0" fontId="2" fillId="0" borderId="19" xfId="0" applyNumberFormat="1" applyFont="1" applyBorder="1" applyAlignment="1">
      <alignment horizontal="left" vertical="center" indent="1"/>
    </xf>
    <xf numFmtId="0" fontId="0" fillId="0" borderId="3" xfId="0" applyNumberFormat="1" applyFont="1" applyBorder="1" applyAlignment="1">
      <alignment horizontal="center" vertical="center" wrapText="1"/>
    </xf>
    <xf numFmtId="0" fontId="18" fillId="0" borderId="10" xfId="0" applyNumberFormat="1" applyFont="1" applyBorder="1" applyAlignment="1">
      <alignment horizontal="left" vertical="center" wrapText="1" indent="1"/>
    </xf>
    <xf numFmtId="0" fontId="2" fillId="0" borderId="8" xfId="0" applyNumberFormat="1" applyFont="1" applyBorder="1" applyAlignment="1">
      <alignment horizontal="center" vertical="center" wrapText="1"/>
    </xf>
    <xf numFmtId="0" fontId="2" fillId="0" borderId="28" xfId="0" applyNumberFormat="1" applyFont="1" applyBorder="1" applyAlignment="1">
      <alignment horizontal="center" vertical="center" wrapText="1"/>
    </xf>
    <xf numFmtId="0" fontId="2" fillId="0" borderId="11" xfId="0" applyNumberFormat="1" applyFont="1" applyBorder="1" applyAlignment="1">
      <alignment horizontal="center" vertical="center" wrapText="1"/>
    </xf>
    <xf numFmtId="0" fontId="2" fillId="0" borderId="13" xfId="0" applyNumberFormat="1" applyFont="1" applyBorder="1" applyAlignment="1">
      <alignment horizontal="center" vertical="center" wrapText="1"/>
    </xf>
    <xf numFmtId="0" fontId="2" fillId="0" borderId="15" xfId="0" applyNumberFormat="1" applyFont="1" applyBorder="1" applyAlignment="1">
      <alignment horizontal="center" vertical="center" wrapText="1"/>
    </xf>
    <xf numFmtId="0" fontId="2" fillId="0" borderId="27" xfId="0" applyNumberFormat="1" applyFont="1" applyBorder="1" applyAlignment="1">
      <alignment horizontal="center" vertical="center" wrapText="1"/>
    </xf>
    <xf numFmtId="0" fontId="2" fillId="0" borderId="18" xfId="0" applyNumberFormat="1" applyFont="1" applyBorder="1" applyAlignment="1">
      <alignment horizontal="center" vertical="center" wrapText="1"/>
    </xf>
    <xf numFmtId="0" fontId="2" fillId="0" borderId="21" xfId="0" applyNumberFormat="1" applyFont="1" applyBorder="1" applyAlignment="1">
      <alignment horizontal="center" vertical="center" wrapText="1"/>
    </xf>
    <xf numFmtId="49" fontId="2" fillId="0" borderId="3" xfId="0" applyNumberFormat="1" applyFont="1" applyBorder="1" applyAlignment="1">
      <alignment horizontal="center" vertical="center"/>
    </xf>
    <xf numFmtId="49" fontId="2" fillId="0" borderId="8" xfId="0" applyNumberFormat="1" applyFont="1" applyBorder="1" applyAlignment="1">
      <alignment horizontal="center" vertical="center"/>
    </xf>
    <xf numFmtId="0" fontId="2" fillId="0" borderId="3" xfId="0" applyNumberFormat="1" applyFont="1" applyBorder="1" applyAlignment="1">
      <alignment horizontal="left" vertical="center" wrapText="1"/>
    </xf>
    <xf numFmtId="0" fontId="2" fillId="0" borderId="8" xfId="0" applyNumberFormat="1" applyFont="1" applyBorder="1" applyAlignment="1">
      <alignment horizontal="left" vertical="center" wrapText="1"/>
    </xf>
    <xf numFmtId="0" fontId="2" fillId="0" borderId="28" xfId="0" applyNumberFormat="1" applyFont="1" applyBorder="1" applyAlignment="1">
      <alignment horizontal="left" vertical="center" wrapText="1"/>
    </xf>
    <xf numFmtId="49" fontId="2" fillId="11" borderId="8" xfId="0" applyNumberFormat="1" applyFont="1" applyFill="1" applyBorder="1" applyAlignment="1">
      <alignment horizontal="center" vertical="center" wrapText="1"/>
    </xf>
    <xf numFmtId="49" fontId="2" fillId="11" borderId="27" xfId="0" applyNumberFormat="1" applyFont="1" applyFill="1" applyBorder="1" applyAlignment="1">
      <alignment horizontal="center" vertical="center" wrapText="1"/>
    </xf>
    <xf numFmtId="0" fontId="2" fillId="0" borderId="10" xfId="0" applyNumberFormat="1" applyFont="1" applyBorder="1" applyAlignment="1">
      <alignment horizontal="center" vertical="center"/>
    </xf>
    <xf numFmtId="0" fontId="2" fillId="0" borderId="0" xfId="0" applyNumberFormat="1" applyFont="1" applyAlignment="1">
      <alignment horizontal="center" vertical="center"/>
    </xf>
    <xf numFmtId="0" fontId="12" fillId="0" borderId="19" xfId="0" applyNumberFormat="1" applyFont="1" applyBorder="1" applyAlignment="1">
      <alignment horizontal="left" vertical="center"/>
    </xf>
    <xf numFmtId="0" fontId="12" fillId="0" borderId="21" xfId="0" applyNumberFormat="1" applyFont="1" applyBorder="1" applyAlignment="1">
      <alignment horizontal="left" vertical="center"/>
    </xf>
    <xf numFmtId="0" fontId="12" fillId="0" borderId="0" xfId="0" applyNumberFormat="1" applyFont="1" applyAlignment="1">
      <alignment horizontal="left" vertical="center"/>
    </xf>
    <xf numFmtId="0" fontId="12" fillId="0" borderId="15" xfId="0" applyNumberFormat="1" applyFont="1" applyBorder="1" applyAlignment="1">
      <alignment horizontal="left" vertical="center"/>
    </xf>
    <xf numFmtId="0" fontId="2" fillId="0" borderId="5" xfId="0" applyNumberFormat="1" applyFont="1" applyBorder="1" applyAlignment="1">
      <alignment horizontal="left" vertical="center" wrapText="1"/>
    </xf>
    <xf numFmtId="0" fontId="18" fillId="0" borderId="19" xfId="0" applyNumberFormat="1" applyFont="1" applyBorder="1" applyAlignment="1">
      <alignment horizontal="left" vertical="center" wrapText="1" indent="1"/>
    </xf>
    <xf numFmtId="49" fontId="2" fillId="6" borderId="0" xfId="0" applyNumberFormat="1" applyFont="1" applyFill="1" applyAlignment="1">
      <alignment horizontal="center" vertical="center" wrapText="1"/>
    </xf>
    <xf numFmtId="0" fontId="17" fillId="0" borderId="0" xfId="0" applyNumberFormat="1" applyFont="1" applyAlignment="1">
      <alignment horizontal="right" vertical="top" wrapText="1"/>
    </xf>
    <xf numFmtId="49" fontId="0" fillId="6" borderId="3" xfId="0" applyNumberFormat="1" applyFont="1" applyFill="1" applyBorder="1" applyAlignment="1">
      <alignment horizontal="center" vertical="center" wrapText="1"/>
    </xf>
    <xf numFmtId="49" fontId="2" fillId="6" borderId="3" xfId="0" applyNumberFormat="1" applyFont="1" applyFill="1" applyBorder="1" applyAlignment="1">
      <alignment horizontal="center" vertical="center" wrapText="1"/>
    </xf>
    <xf numFmtId="0" fontId="2" fillId="6" borderId="0" xfId="0" applyNumberFormat="1" applyFont="1" applyFill="1" applyAlignment="1">
      <alignment horizontal="center" vertical="center" wrapText="1"/>
    </xf>
    <xf numFmtId="0" fontId="17" fillId="0" borderId="0" xfId="0" applyNumberFormat="1" applyFont="1" applyAlignment="1">
      <alignment horizontal="left" vertical="top" wrapText="1" indent="1"/>
    </xf>
    <xf numFmtId="0" fontId="67" fillId="6" borderId="0" xfId="0" applyNumberFormat="1" applyFont="1" applyFill="1" applyAlignment="1">
      <alignment horizontal="left" vertical="center" wrapText="1"/>
    </xf>
    <xf numFmtId="0" fontId="0" fillId="6" borderId="3" xfId="0" applyNumberFormat="1" applyFont="1" applyFill="1" applyBorder="1" applyAlignment="1">
      <alignment horizontal="center" vertical="center" wrapText="1"/>
    </xf>
    <xf numFmtId="0" fontId="2" fillId="6" borderId="3" xfId="0" applyNumberFormat="1" applyFont="1" applyFill="1" applyBorder="1" applyAlignment="1">
      <alignment horizontal="center" vertical="center" wrapText="1"/>
    </xf>
    <xf numFmtId="0" fontId="2" fillId="6" borderId="15" xfId="0" applyNumberFormat="1" applyFont="1" applyFill="1" applyBorder="1" applyAlignment="1">
      <alignment horizontal="center" vertical="center" wrapText="1"/>
    </xf>
    <xf numFmtId="0" fontId="2" fillId="0" borderId="19" xfId="0" applyNumberFormat="1" applyFont="1" applyBorder="1" applyAlignment="1">
      <alignment horizontal="left" vertical="center" wrapText="1" indent="1"/>
    </xf>
    <xf numFmtId="0" fontId="2" fillId="6" borderId="8" xfId="0" applyNumberFormat="1" applyFont="1" applyFill="1" applyBorder="1" applyAlignment="1">
      <alignment horizontal="left" vertical="top" wrapText="1"/>
    </xf>
    <xf numFmtId="0" fontId="2" fillId="6" borderId="27" xfId="0" applyNumberFormat="1" applyFont="1" applyFill="1" applyBorder="1" applyAlignment="1">
      <alignment horizontal="left" vertical="top" wrapText="1"/>
    </xf>
    <xf numFmtId="0" fontId="2" fillId="6" borderId="14" xfId="0" applyNumberFormat="1" applyFont="1" applyFill="1" applyBorder="1" applyAlignment="1">
      <alignment horizontal="left" vertical="top" wrapText="1"/>
    </xf>
    <xf numFmtId="0" fontId="0" fillId="0" borderId="5" xfId="0" applyNumberFormat="1" applyFont="1" applyBorder="1" applyAlignment="1">
      <alignment horizontal="center" vertical="center" wrapText="1"/>
    </xf>
    <xf numFmtId="0" fontId="0" fillId="0" borderId="8" xfId="0" applyNumberFormat="1" applyFont="1" applyBorder="1" applyAlignment="1">
      <alignment horizontal="center" vertical="center" wrapText="1"/>
    </xf>
    <xf numFmtId="0" fontId="0" fillId="0" borderId="14" xfId="0" applyNumberFormat="1" applyFont="1" applyBorder="1" applyAlignment="1">
      <alignment horizontal="center" vertical="center" wrapText="1"/>
    </xf>
    <xf numFmtId="0" fontId="0" fillId="0" borderId="11" xfId="0" applyNumberFormat="1" applyFont="1" applyBorder="1" applyAlignment="1">
      <alignment horizontal="center" vertical="center" wrapText="1"/>
    </xf>
    <xf numFmtId="0" fontId="0" fillId="0" borderId="21" xfId="0" applyNumberFormat="1" applyFont="1" applyBorder="1" applyAlignment="1">
      <alignment horizontal="center" vertical="center" wrapText="1"/>
    </xf>
    <xf numFmtId="0" fontId="0" fillId="0" borderId="28" xfId="0" applyNumberFormat="1" applyFont="1" applyBorder="1" applyAlignment="1">
      <alignment horizontal="center" vertical="center" wrapText="1"/>
    </xf>
    <xf numFmtId="0" fontId="0" fillId="0" borderId="18" xfId="0" applyNumberFormat="1" applyFont="1" applyBorder="1" applyAlignment="1">
      <alignment horizontal="center" vertical="center" wrapText="1"/>
    </xf>
    <xf numFmtId="0" fontId="0" fillId="0" borderId="8" xfId="0" applyNumberFormat="1" applyFont="1" applyBorder="1" applyAlignment="1">
      <alignment horizontal="left" vertical="top" wrapText="1"/>
    </xf>
    <xf numFmtId="0" fontId="0" fillId="0" borderId="14" xfId="0" applyNumberFormat="1" applyFont="1" applyBorder="1" applyAlignment="1">
      <alignment horizontal="left" vertical="top" wrapText="1"/>
    </xf>
    <xf numFmtId="0" fontId="2" fillId="0" borderId="21" xfId="0" applyNumberFormat="1" applyFont="1" applyBorder="1" applyAlignment="1">
      <alignment horizontal="left" vertical="center" wrapText="1" indent="1"/>
    </xf>
    <xf numFmtId="0" fontId="2" fillId="0" borderId="14" xfId="0" applyNumberFormat="1" applyFont="1" applyBorder="1" applyAlignment="1">
      <alignment horizontal="left" vertical="center" wrapText="1" indent="1"/>
    </xf>
    <xf numFmtId="0" fontId="2" fillId="0" borderId="18" xfId="0" applyNumberFormat="1" applyFont="1" applyBorder="1" applyAlignment="1">
      <alignment horizontal="left" vertical="center" wrapText="1" indent="1"/>
    </xf>
    <xf numFmtId="0" fontId="19" fillId="0" borderId="0" xfId="0" applyNumberFormat="1" applyFont="1" applyAlignment="1">
      <alignment horizontal="center" vertical="center" wrapText="1"/>
    </xf>
    <xf numFmtId="0" fontId="0" fillId="0" borderId="6" xfId="0" applyNumberFormat="1" applyFont="1" applyBorder="1" applyAlignment="1">
      <alignment horizontal="center" vertical="center" wrapText="1"/>
    </xf>
    <xf numFmtId="0" fontId="0" fillId="0" borderId="4" xfId="0" applyNumberFormat="1" applyFont="1" applyBorder="1" applyAlignment="1">
      <alignment horizontal="center" vertical="center" wrapText="1"/>
    </xf>
    <xf numFmtId="49" fontId="0" fillId="0" borderId="28" xfId="0" applyNumberFormat="1" applyFont="1" applyBorder="1" applyAlignment="1">
      <alignment horizontal="center" vertical="center" wrapText="1"/>
    </xf>
    <xf numFmtId="49" fontId="0" fillId="0" borderId="18" xfId="0" applyNumberFormat="1" applyFont="1" applyBorder="1" applyAlignment="1">
      <alignment horizontal="center" vertical="center" wrapText="1"/>
    </xf>
    <xf numFmtId="0" fontId="2" fillId="11" borderId="10" xfId="0" applyNumberFormat="1" applyFont="1" applyFill="1" applyBorder="1" applyAlignment="1">
      <alignment horizontal="left" vertical="center" wrapText="1"/>
    </xf>
    <xf numFmtId="0" fontId="2" fillId="11" borderId="19" xfId="0" applyNumberFormat="1" applyFont="1" applyFill="1" applyBorder="1" applyAlignment="1">
      <alignment horizontal="left" vertical="center" wrapText="1"/>
    </xf>
    <xf numFmtId="0" fontId="2" fillId="0" borderId="14" xfId="0" applyNumberFormat="1" applyFont="1" applyBorder="1" applyAlignment="1">
      <alignment horizontal="center" vertical="center" wrapText="1"/>
    </xf>
    <xf numFmtId="0" fontId="0" fillId="0" borderId="27" xfId="0" applyNumberFormat="1" applyFont="1" applyBorder="1" applyAlignment="1">
      <alignment horizontal="left" vertical="top" wrapText="1"/>
    </xf>
    <xf numFmtId="49" fontId="2" fillId="0" borderId="3" xfId="0" applyNumberFormat="1" applyFont="1" applyBorder="1" applyAlignment="1">
      <alignment horizontal="center" vertical="top" wrapText="1"/>
    </xf>
    <xf numFmtId="0" fontId="0" fillId="5" borderId="3" xfId="0" applyNumberFormat="1" applyFont="1" applyFill="1" applyBorder="1" applyAlignment="1">
      <alignment horizontal="left" vertical="top" wrapText="1" indent="1"/>
    </xf>
    <xf numFmtId="49" fontId="2" fillId="11" borderId="8" xfId="0" applyNumberFormat="1" applyFont="1" applyFill="1" applyBorder="1" applyAlignment="1">
      <alignment horizontal="center" vertical="top" wrapText="1"/>
    </xf>
    <xf numFmtId="49" fontId="2" fillId="11" borderId="14" xfId="0" applyNumberFormat="1" applyFont="1" applyFill="1" applyBorder="1" applyAlignment="1">
      <alignment horizontal="center" vertical="top" wrapText="1"/>
    </xf>
    <xf numFmtId="171" fontId="0" fillId="10" borderId="3" xfId="0" applyNumberFormat="1" applyFont="1" applyFill="1" applyBorder="1" applyAlignment="1" applyProtection="1">
      <alignment horizontal="center" vertical="top" wrapText="1"/>
      <protection locked="0"/>
    </xf>
    <xf numFmtId="49" fontId="0" fillId="10" borderId="3" xfId="0" applyNumberFormat="1" applyFont="1" applyFill="1" applyBorder="1" applyAlignment="1" applyProtection="1">
      <alignment horizontal="center" vertical="top" wrapText="1"/>
      <protection locked="0"/>
    </xf>
    <xf numFmtId="171" fontId="0" fillId="7" borderId="3" xfId="0" applyNumberFormat="1" applyFont="1" applyFill="1" applyBorder="1" applyAlignment="1" applyProtection="1">
      <alignment horizontal="center" vertical="top" wrapText="1"/>
      <protection locked="0"/>
    </xf>
    <xf numFmtId="49" fontId="0" fillId="7" borderId="3" xfId="0" applyNumberFormat="1" applyFont="1" applyFill="1" applyBorder="1" applyAlignment="1" applyProtection="1">
      <alignment horizontal="center" vertical="top" wrapText="1"/>
      <protection locked="0"/>
    </xf>
    <xf numFmtId="49" fontId="2" fillId="11" borderId="3" xfId="0" applyNumberFormat="1" applyFont="1" applyFill="1" applyBorder="1" applyAlignment="1">
      <alignment horizontal="left" vertical="top" wrapText="1"/>
    </xf>
    <xf numFmtId="0" fontId="20" fillId="0" borderId="0" xfId="0" applyNumberFormat="1" applyFont="1" applyAlignment="1">
      <alignment horizontal="center" vertical="center" wrapText="1"/>
    </xf>
    <xf numFmtId="0" fontId="0" fillId="0" borderId="3" xfId="0" applyNumberFormat="1" applyFont="1" applyBorder="1" applyAlignment="1">
      <alignment horizontal="center" vertical="center"/>
    </xf>
    <xf numFmtId="49" fontId="2" fillId="10" borderId="3" xfId="0" applyNumberFormat="1" applyFont="1" applyFill="1" applyBorder="1" applyAlignment="1" applyProtection="1">
      <alignment horizontal="left" vertical="top" wrapText="1"/>
      <protection locked="0"/>
    </xf>
    <xf numFmtId="49" fontId="2" fillId="0" borderId="4" xfId="0" applyNumberFormat="1" applyFont="1" applyBorder="1" applyAlignment="1">
      <alignment horizontal="center" vertical="center" wrapText="1"/>
    </xf>
    <xf numFmtId="0" fontId="2" fillId="7" borderId="3" xfId="0" applyNumberFormat="1" applyFont="1" applyFill="1" applyBorder="1" applyAlignment="1" applyProtection="1">
      <alignment horizontal="left" vertical="top" wrapText="1"/>
      <protection locked="0"/>
    </xf>
    <xf numFmtId="49" fontId="0" fillId="10" borderId="3" xfId="0" applyNumberFormat="1" applyFont="1" applyFill="1" applyBorder="1" applyAlignment="1" applyProtection="1">
      <alignment horizontal="left" vertical="center" wrapText="1"/>
      <protection locked="0"/>
    </xf>
    <xf numFmtId="0" fontId="2" fillId="11" borderId="3" xfId="0" applyNumberFormat="1" applyFont="1" applyFill="1" applyBorder="1" applyAlignment="1">
      <alignment horizontal="left" vertical="top" wrapText="1"/>
    </xf>
    <xf numFmtId="49" fontId="0" fillId="11" borderId="3" xfId="0" applyNumberFormat="1" applyFont="1" applyFill="1" applyBorder="1" applyAlignment="1">
      <alignment horizontal="left" vertical="top"/>
    </xf>
    <xf numFmtId="49" fontId="2" fillId="0" borderId="8" xfId="0" applyNumberFormat="1" applyFont="1" applyBorder="1" applyAlignment="1">
      <alignment horizontal="center" vertical="center" wrapText="1"/>
    </xf>
    <xf numFmtId="49" fontId="2" fillId="0" borderId="27" xfId="0" applyNumberFormat="1" applyFont="1" applyBorder="1" applyAlignment="1">
      <alignment horizontal="center" vertical="center" wrapText="1"/>
    </xf>
    <xf numFmtId="49" fontId="2" fillId="0" borderId="14" xfId="0" applyNumberFormat="1" applyFont="1" applyBorder="1" applyAlignment="1">
      <alignment horizontal="center" vertical="center" wrapText="1"/>
    </xf>
    <xf numFmtId="0" fontId="0" fillId="0" borderId="5" xfId="0" applyNumberFormat="1" applyFont="1" applyBorder="1" applyAlignment="1">
      <alignment horizontal="right" vertical="center" wrapText="1" indent="1"/>
    </xf>
    <xf numFmtId="0" fontId="0" fillId="0" borderId="6" xfId="0" applyNumberFormat="1" applyFont="1" applyBorder="1" applyAlignment="1">
      <alignment horizontal="right" vertical="center" wrapText="1" indent="1"/>
    </xf>
    <xf numFmtId="0" fontId="0" fillId="0" borderId="4" xfId="0" applyNumberFormat="1" applyFont="1" applyBorder="1" applyAlignment="1">
      <alignment horizontal="right" vertical="center" wrapText="1" indent="1"/>
    </xf>
    <xf numFmtId="0" fontId="0" fillId="5" borderId="3" xfId="0" applyNumberFormat="1" applyFont="1" applyFill="1" applyBorder="1" applyAlignment="1">
      <alignment horizontal="left" vertical="center" wrapText="1" indent="1"/>
    </xf>
    <xf numFmtId="49" fontId="2" fillId="11" borderId="8" xfId="0" applyNumberFormat="1" applyFont="1" applyFill="1" applyBorder="1" applyAlignment="1">
      <alignment horizontal="left" vertical="center" wrapText="1" indent="1"/>
    </xf>
    <xf numFmtId="49" fontId="2" fillId="11" borderId="27" xfId="0" applyNumberFormat="1" applyFont="1" applyFill="1" applyBorder="1" applyAlignment="1">
      <alignment horizontal="left" vertical="center" wrapText="1" indent="1"/>
    </xf>
    <xf numFmtId="49" fontId="2" fillId="11" borderId="14" xfId="0" applyNumberFormat="1" applyFont="1" applyFill="1" applyBorder="1" applyAlignment="1">
      <alignment horizontal="left" vertical="center" wrapText="1" indent="1"/>
    </xf>
    <xf numFmtId="49" fontId="2" fillId="0" borderId="3" xfId="0" applyNumberFormat="1" applyFont="1" applyBorder="1" applyAlignment="1">
      <alignment horizontal="left" vertical="center" wrapText="1"/>
    </xf>
    <xf numFmtId="49" fontId="97" fillId="0" borderId="3" xfId="0" applyNumberFormat="1" applyFont="1" applyBorder="1" applyAlignment="1">
      <alignment horizontal="center" vertical="center" wrapText="1"/>
    </xf>
    <xf numFmtId="0" fontId="17" fillId="0" borderId="3" xfId="0" applyNumberFormat="1" applyFont="1" applyBorder="1" applyAlignment="1">
      <alignment horizontal="center" vertical="center"/>
    </xf>
    <xf numFmtId="0" fontId="0" fillId="10" borderId="3" xfId="0" applyNumberFormat="1" applyFont="1" applyFill="1" applyBorder="1" applyAlignment="1" applyProtection="1">
      <alignment horizontal="left" vertical="center" wrapText="1"/>
      <protection locked="0"/>
    </xf>
    <xf numFmtId="49" fontId="0" fillId="10" borderId="5" xfId="0" applyNumberFormat="1" applyFont="1" applyFill="1" applyBorder="1" applyAlignment="1" applyProtection="1">
      <alignment horizontal="left" vertical="center" wrapText="1"/>
      <protection locked="0"/>
    </xf>
    <xf numFmtId="0" fontId="19" fillId="0" borderId="0" xfId="0" applyNumberFormat="1" applyFont="1" applyAlignment="1">
      <alignment horizontal="center" vertical="top"/>
    </xf>
    <xf numFmtId="49" fontId="8" fillId="0" borderId="8" xfId="0" applyNumberFormat="1" applyFont="1" applyBorder="1" applyAlignment="1">
      <alignment horizontal="center" vertical="top" wrapText="1"/>
    </xf>
    <xf numFmtId="49" fontId="2" fillId="0" borderId="27" xfId="0" applyNumberFormat="1" applyFont="1" applyBorder="1" applyAlignment="1">
      <alignment horizontal="center" vertical="top" wrapText="1"/>
    </xf>
    <xf numFmtId="49" fontId="2" fillId="0" borderId="14" xfId="0" applyNumberFormat="1" applyFont="1" applyBorder="1" applyAlignment="1">
      <alignment horizontal="center" vertical="top" wrapText="1"/>
    </xf>
    <xf numFmtId="49" fontId="2" fillId="10" borderId="5" xfId="0" applyNumberFormat="1" applyFont="1" applyFill="1" applyBorder="1" applyAlignment="1" applyProtection="1">
      <alignment horizontal="left" vertical="center" wrapText="1" indent="1"/>
      <protection locked="0"/>
    </xf>
    <xf numFmtId="49" fontId="2" fillId="10" borderId="3" xfId="0" applyNumberFormat="1" applyFont="1" applyFill="1" applyBorder="1" applyAlignment="1" applyProtection="1">
      <alignment horizontal="left" vertical="center" wrapText="1" indent="1"/>
      <protection locked="0"/>
    </xf>
    <xf numFmtId="0" fontId="2" fillId="0" borderId="14" xfId="0" applyNumberFormat="1" applyFont="1" applyBorder="1" applyAlignment="1">
      <alignment horizontal="left" vertical="center" wrapText="1"/>
    </xf>
    <xf numFmtId="0" fontId="0" fillId="11" borderId="3" xfId="0" applyNumberFormat="1" applyFont="1" applyFill="1" applyBorder="1" applyAlignment="1" applyProtection="1">
      <alignment horizontal="left" vertical="center" wrapText="1"/>
      <protection locked="0"/>
    </xf>
    <xf numFmtId="49" fontId="0" fillId="11" borderId="3" xfId="0" applyNumberFormat="1" applyFont="1" applyFill="1" applyBorder="1" applyAlignment="1" applyProtection="1">
      <alignment horizontal="left" vertical="center" wrapText="1"/>
      <protection locked="0"/>
    </xf>
    <xf numFmtId="49" fontId="2" fillId="7" borderId="3" xfId="0" applyNumberFormat="1" applyFont="1" applyFill="1" applyBorder="1" applyAlignment="1" applyProtection="1">
      <alignment horizontal="left" vertical="center" wrapText="1"/>
      <protection locked="0"/>
    </xf>
    <xf numFmtId="49" fontId="0" fillId="7" borderId="3" xfId="0" applyNumberFormat="1" applyFont="1" applyFill="1" applyBorder="1" applyAlignment="1" applyProtection="1">
      <alignment horizontal="left" vertical="top"/>
      <protection locked="0"/>
    </xf>
    <xf numFmtId="0" fontId="2" fillId="11" borderId="3" xfId="0" applyNumberFormat="1" applyFont="1" applyFill="1" applyBorder="1" applyAlignment="1">
      <alignment horizontal="center" vertical="center" wrapText="1"/>
    </xf>
    <xf numFmtId="14" fontId="54" fillId="0" borderId="8" xfId="0" applyNumberFormat="1" applyFont="1" applyBorder="1" applyAlignment="1">
      <alignment horizontal="center" vertical="center" wrapText="1"/>
    </xf>
    <xf numFmtId="14" fontId="54" fillId="0" borderId="27" xfId="0" applyNumberFormat="1" applyFont="1" applyBorder="1" applyAlignment="1">
      <alignment horizontal="center" vertical="center" wrapText="1"/>
    </xf>
    <xf numFmtId="0" fontId="48" fillId="0" borderId="3" xfId="0" applyNumberFormat="1" applyFont="1" applyBorder="1" applyAlignment="1">
      <alignment horizontal="left" vertical="center" wrapText="1" indent="1"/>
    </xf>
    <xf numFmtId="0" fontId="48" fillId="0" borderId="3" xfId="0" applyNumberFormat="1" applyFont="1" applyBorder="1" applyAlignment="1">
      <alignment horizontal="left" vertical="top" indent="1"/>
    </xf>
    <xf numFmtId="0" fontId="7" fillId="0" borderId="3" xfId="0" applyNumberFormat="1" applyFont="1" applyBorder="1" applyAlignment="1">
      <alignment horizontal="center" vertical="center" wrapText="1"/>
    </xf>
    <xf numFmtId="0" fontId="2" fillId="11" borderId="3" xfId="0" applyNumberFormat="1" applyFont="1" applyFill="1" applyBorder="1" applyAlignment="1">
      <alignment horizontal="left" vertical="center" wrapText="1" indent="1"/>
    </xf>
    <xf numFmtId="49" fontId="2" fillId="11" borderId="3" xfId="0" applyNumberFormat="1" applyFont="1" applyFill="1" applyBorder="1" applyAlignment="1">
      <alignment horizontal="center" vertical="top" wrapText="1"/>
    </xf>
    <xf numFmtId="49" fontId="2" fillId="11" borderId="5" xfId="0" applyNumberFormat="1" applyFont="1" applyFill="1" applyBorder="1" applyAlignment="1">
      <alignment horizontal="center" vertical="top" wrapText="1"/>
    </xf>
    <xf numFmtId="49" fontId="0" fillId="5" borderId="3" xfId="0" applyNumberFormat="1" applyFont="1" applyFill="1" applyBorder="1" applyAlignment="1">
      <alignment horizontal="center" vertical="top" wrapText="1"/>
    </xf>
    <xf numFmtId="0" fontId="2" fillId="5" borderId="3" xfId="0" applyNumberFormat="1" applyFont="1" applyFill="1" applyBorder="1" applyAlignment="1">
      <alignment horizontal="center" vertical="top" wrapText="1"/>
    </xf>
    <xf numFmtId="49" fontId="2" fillId="11" borderId="5" xfId="0" applyNumberFormat="1" applyFont="1" applyFill="1" applyBorder="1" applyAlignment="1">
      <alignment horizontal="center" vertical="center" wrapText="1"/>
    </xf>
    <xf numFmtId="49" fontId="12" fillId="8" borderId="42" xfId="0" applyNumberFormat="1" applyFont="1" applyFill="1" applyBorder="1" applyAlignment="1">
      <alignment horizontal="left" vertical="center" indent="1"/>
    </xf>
    <xf numFmtId="49" fontId="2" fillId="5" borderId="3" xfId="0" applyNumberFormat="1" applyFont="1" applyFill="1" applyBorder="1" applyAlignment="1">
      <alignment horizontal="center" vertical="center" wrapText="1"/>
    </xf>
    <xf numFmtId="49" fontId="2" fillId="5" borderId="49" xfId="0" applyNumberFormat="1" applyFont="1" applyFill="1" applyBorder="1" applyAlignment="1">
      <alignment horizontal="center" vertical="center" wrapText="1"/>
    </xf>
    <xf numFmtId="3" fontId="2" fillId="10" borderId="3" xfId="0" applyNumberFormat="1" applyFont="1" applyFill="1" applyBorder="1" applyAlignment="1" applyProtection="1">
      <alignment horizontal="center" vertical="center" wrapText="1"/>
      <protection locked="0"/>
    </xf>
    <xf numFmtId="49" fontId="2" fillId="5" borderId="3" xfId="0" applyNumberFormat="1" applyFont="1" applyFill="1" applyBorder="1" applyAlignment="1">
      <alignment horizontal="left" vertical="center" wrapText="1"/>
    </xf>
    <xf numFmtId="49" fontId="2" fillId="11" borderId="4" xfId="0" applyNumberFormat="1" applyFont="1" applyFill="1" applyBorder="1" applyAlignment="1">
      <alignment horizontal="left" vertical="center" wrapText="1"/>
    </xf>
    <xf numFmtId="49" fontId="2" fillId="11" borderId="3" xfId="0" applyNumberFormat="1" applyFont="1" applyFill="1" applyBorder="1" applyAlignment="1">
      <alignment horizontal="left" vertical="center" wrapText="1"/>
    </xf>
    <xf numFmtId="49" fontId="2" fillId="10" borderId="3" xfId="0" applyNumberFormat="1" applyFont="1" applyFill="1" applyBorder="1" applyAlignment="1" applyProtection="1">
      <alignment horizontal="left" vertical="center" wrapText="1"/>
      <protection locked="0"/>
    </xf>
    <xf numFmtId="49" fontId="97" fillId="0" borderId="4" xfId="0" applyNumberFormat="1" applyFont="1" applyBorder="1" applyAlignment="1">
      <alignment horizontal="center" vertical="center" wrapText="1"/>
    </xf>
    <xf numFmtId="0" fontId="2" fillId="11" borderId="8" xfId="0" applyNumberFormat="1" applyFont="1" applyFill="1" applyBorder="1" applyAlignment="1">
      <alignment horizontal="left" vertical="center" wrapText="1"/>
    </xf>
    <xf numFmtId="0" fontId="2" fillId="11" borderId="27" xfId="0" applyNumberFormat="1" applyFont="1" applyFill="1" applyBorder="1" applyAlignment="1">
      <alignment horizontal="left" vertical="center" wrapText="1"/>
    </xf>
    <xf numFmtId="49" fontId="2" fillId="11" borderId="8" xfId="0" applyNumberFormat="1" applyFont="1" applyFill="1" applyBorder="1" applyAlignment="1">
      <alignment horizontal="left" vertical="center" wrapText="1"/>
    </xf>
    <xf numFmtId="49" fontId="2" fillId="11" borderId="14" xfId="0" applyNumberFormat="1" applyFont="1" applyFill="1" applyBorder="1" applyAlignment="1">
      <alignment horizontal="left" vertical="center" wrapText="1"/>
    </xf>
    <xf numFmtId="49" fontId="2" fillId="0" borderId="27" xfId="0" applyNumberFormat="1" applyFont="1" applyBorder="1" applyAlignment="1">
      <alignment horizontal="center" vertical="center"/>
    </xf>
    <xf numFmtId="0" fontId="2" fillId="0" borderId="15" xfId="0" applyNumberFormat="1" applyFont="1" applyBorder="1" applyAlignment="1">
      <alignment horizontal="center" vertical="center"/>
    </xf>
    <xf numFmtId="49" fontId="2" fillId="7" borderId="8" xfId="0" applyNumberFormat="1" applyFont="1" applyFill="1" applyBorder="1" applyAlignment="1" applyProtection="1">
      <alignment horizontal="left" vertical="center" wrapText="1"/>
      <protection locked="0"/>
    </xf>
    <xf numFmtId="0" fontId="12" fillId="8" borderId="6" xfId="0" applyNumberFormat="1" applyFont="1" applyFill="1" applyBorder="1" applyAlignment="1">
      <alignment horizontal="left" vertical="center"/>
    </xf>
    <xf numFmtId="0" fontId="12" fillId="8" borderId="4" xfId="0" applyNumberFormat="1" applyFont="1" applyFill="1" applyBorder="1" applyAlignment="1">
      <alignment horizontal="left" vertical="center"/>
    </xf>
    <xf numFmtId="0" fontId="12" fillId="8" borderId="10" xfId="0" applyNumberFormat="1" applyFont="1" applyFill="1" applyBorder="1" applyAlignment="1">
      <alignment horizontal="left" vertical="center"/>
    </xf>
    <xf numFmtId="0" fontId="12" fillId="8" borderId="11" xfId="0" applyNumberFormat="1" applyFont="1" applyFill="1" applyBorder="1" applyAlignment="1">
      <alignment horizontal="left" vertical="center"/>
    </xf>
    <xf numFmtId="49" fontId="2" fillId="10" borderId="8" xfId="0" applyNumberFormat="1" applyFont="1" applyFill="1" applyBorder="1" applyAlignment="1" applyProtection="1">
      <alignment horizontal="left" vertical="center" wrapText="1"/>
      <protection locked="0"/>
    </xf>
    <xf numFmtId="49" fontId="20" fillId="0" borderId="3" xfId="0" applyNumberFormat="1" applyFont="1" applyBorder="1" applyAlignment="1">
      <alignment horizontal="center" vertical="center" wrapText="1"/>
    </xf>
    <xf numFmtId="0" fontId="2" fillId="6" borderId="3" xfId="0" applyNumberFormat="1" applyFont="1" applyFill="1" applyBorder="1" applyAlignment="1">
      <alignment horizontal="center" vertical="center"/>
    </xf>
    <xf numFmtId="0" fontId="2" fillId="11" borderId="5" xfId="0" applyNumberFormat="1" applyFont="1" applyFill="1" applyBorder="1" applyAlignment="1">
      <alignment horizontal="left" vertical="center" wrapText="1"/>
    </xf>
    <xf numFmtId="0" fontId="2" fillId="11" borderId="6" xfId="0" applyNumberFormat="1" applyFont="1" applyFill="1" applyBorder="1" applyAlignment="1">
      <alignment horizontal="left" vertical="center" wrapText="1"/>
    </xf>
    <xf numFmtId="0" fontId="2" fillId="11" borderId="4" xfId="0" applyNumberFormat="1" applyFont="1" applyFill="1" applyBorder="1" applyAlignment="1">
      <alignment horizontal="left" vertical="center" wrapText="1"/>
    </xf>
    <xf numFmtId="0" fontId="0" fillId="6" borderId="3" xfId="0" applyNumberFormat="1" applyFont="1" applyFill="1" applyBorder="1" applyAlignment="1">
      <alignment horizontal="right" vertical="center" wrapText="1" indent="1"/>
    </xf>
    <xf numFmtId="171" fontId="2" fillId="5" borderId="3" xfId="0" applyNumberFormat="1" applyFont="1" applyFill="1" applyBorder="1" applyAlignment="1">
      <alignment horizontal="left" vertical="center" wrapText="1" indent="1"/>
    </xf>
    <xf numFmtId="0" fontId="2" fillId="5" borderId="3" xfId="0" applyNumberFormat="1" applyFont="1" applyFill="1" applyBorder="1" applyAlignment="1">
      <alignment horizontal="left" vertical="center" wrapText="1" indent="1"/>
    </xf>
    <xf numFmtId="0" fontId="2" fillId="5" borderId="5" xfId="0" applyNumberFormat="1" applyFont="1" applyFill="1" applyBorder="1" applyAlignment="1">
      <alignment horizontal="left" vertical="center" wrapText="1"/>
    </xf>
    <xf numFmtId="0" fontId="2" fillId="5" borderId="6" xfId="0" applyNumberFormat="1" applyFont="1" applyFill="1" applyBorder="1" applyAlignment="1">
      <alignment horizontal="left" vertical="center" wrapText="1"/>
    </xf>
    <xf numFmtId="0" fontId="2" fillId="5" borderId="4" xfId="0" applyNumberFormat="1" applyFont="1" applyFill="1" applyBorder="1" applyAlignment="1">
      <alignment horizontal="left" vertical="center" wrapText="1"/>
    </xf>
    <xf numFmtId="49" fontId="19" fillId="0" borderId="3" xfId="0" applyNumberFormat="1" applyFont="1" applyBorder="1" applyAlignment="1">
      <alignment horizontal="center" vertical="center" wrapText="1"/>
    </xf>
    <xf numFmtId="171" fontId="19" fillId="0" borderId="3" xfId="0" applyNumberFormat="1" applyFont="1" applyBorder="1" applyAlignment="1">
      <alignment horizontal="center" vertical="center" wrapText="1"/>
    </xf>
    <xf numFmtId="0" fontId="2" fillId="0" borderId="0" xfId="0" applyNumberFormat="1" applyFont="1" applyAlignment="1">
      <alignment horizontal="left" vertical="top" wrapText="1"/>
    </xf>
    <xf numFmtId="0" fontId="19" fillId="0" borderId="3" xfId="0" applyNumberFormat="1" applyFont="1" applyBorder="1" applyAlignment="1">
      <alignment horizontal="center" vertical="center"/>
    </xf>
    <xf numFmtId="0" fontId="19" fillId="0" borderId="5" xfId="0" applyNumberFormat="1" applyFont="1" applyBorder="1" applyAlignment="1">
      <alignment horizontal="center" vertical="center"/>
    </xf>
    <xf numFmtId="0" fontId="19" fillId="0" borderId="3" xfId="0" applyNumberFormat="1" applyFont="1" applyBorder="1" applyAlignment="1">
      <alignment horizontal="center" vertical="center" wrapText="1"/>
    </xf>
    <xf numFmtId="0" fontId="19" fillId="0" borderId="5" xfId="0" applyNumberFormat="1" applyFont="1" applyBorder="1" applyAlignment="1">
      <alignment horizontal="center" vertical="center" wrapText="1"/>
    </xf>
    <xf numFmtId="171" fontId="0" fillId="10" borderId="3" xfId="0" applyNumberFormat="1" applyFont="1" applyFill="1" applyBorder="1" applyAlignment="1" applyProtection="1">
      <alignment horizontal="center" vertical="center" wrapText="1"/>
      <protection locked="0"/>
    </xf>
    <xf numFmtId="49" fontId="0" fillId="10" borderId="3" xfId="0" applyNumberFormat="1" applyFont="1" applyFill="1" applyBorder="1" applyAlignment="1" applyProtection="1">
      <alignment horizontal="center" vertical="center" wrapText="1"/>
      <protection locked="0"/>
    </xf>
    <xf numFmtId="171" fontId="0" fillId="10" borderId="8" xfId="0" applyNumberFormat="1" applyFont="1" applyFill="1" applyBorder="1" applyAlignment="1" applyProtection="1">
      <alignment horizontal="center" vertical="center" wrapText="1"/>
      <protection locked="0"/>
    </xf>
    <xf numFmtId="49" fontId="0" fillId="10" borderId="14" xfId="0" applyNumberFormat="1" applyFont="1" applyFill="1" applyBorder="1" applyAlignment="1" applyProtection="1">
      <alignment horizontal="center" vertical="center" wrapText="1"/>
      <protection locked="0"/>
    </xf>
    <xf numFmtId="0" fontId="19" fillId="0" borderId="8" xfId="0" applyNumberFormat="1" applyFont="1" applyBorder="1" applyAlignment="1">
      <alignment horizontal="center" vertical="center" wrapText="1"/>
    </xf>
    <xf numFmtId="0" fontId="19" fillId="0" borderId="14" xfId="0" applyNumberFormat="1" applyFont="1" applyBorder="1" applyAlignment="1">
      <alignment horizontal="center" vertical="center" wrapText="1"/>
    </xf>
    <xf numFmtId="0" fontId="53" fillId="6" borderId="10" xfId="0" applyNumberFormat="1" applyFont="1" applyFill="1" applyBorder="1" applyAlignment="1">
      <alignment horizontal="center" vertical="center" wrapText="1"/>
    </xf>
    <xf numFmtId="0" fontId="8" fillId="0" borderId="19" xfId="0" applyNumberFormat="1" applyFont="1" applyBorder="1" applyAlignment="1">
      <alignment horizontal="center" vertical="center" wrapText="1"/>
    </xf>
    <xf numFmtId="0" fontId="2" fillId="6" borderId="3" xfId="0" applyNumberFormat="1" applyFont="1" applyFill="1" applyBorder="1" applyAlignment="1">
      <alignment horizontal="left" vertical="center" wrapText="1"/>
    </xf>
    <xf numFmtId="0" fontId="0" fillId="6" borderId="5" xfId="0" applyNumberFormat="1" applyFont="1" applyFill="1" applyBorder="1" applyAlignment="1">
      <alignment horizontal="center" vertical="center" wrapText="1"/>
    </xf>
    <xf numFmtId="0" fontId="0" fillId="6" borderId="6" xfId="0" applyNumberFormat="1" applyFont="1" applyFill="1" applyBorder="1" applyAlignment="1">
      <alignment horizontal="center" vertical="center" wrapText="1"/>
    </xf>
    <xf numFmtId="0" fontId="0" fillId="6" borderId="4" xfId="0" applyNumberFormat="1" applyFont="1" applyFill="1" applyBorder="1" applyAlignment="1">
      <alignment horizontal="center" vertical="center" wrapText="1"/>
    </xf>
    <xf numFmtId="0" fontId="2" fillId="6" borderId="8" xfId="0" applyNumberFormat="1" applyFont="1" applyFill="1" applyBorder="1" applyAlignment="1">
      <alignment horizontal="center" vertical="center" wrapText="1"/>
    </xf>
    <xf numFmtId="0" fontId="2" fillId="6" borderId="27" xfId="0" applyNumberFormat="1" applyFont="1" applyFill="1" applyBorder="1" applyAlignment="1">
      <alignment horizontal="center" vertical="center" wrapText="1"/>
    </xf>
    <xf numFmtId="0" fontId="2" fillId="6" borderId="14" xfId="0" applyNumberFormat="1" applyFont="1" applyFill="1" applyBorder="1" applyAlignment="1">
      <alignment horizontal="center" vertical="center" wrapText="1"/>
    </xf>
    <xf numFmtId="49" fontId="12" fillId="8" borderId="8" xfId="0" applyNumberFormat="1" applyFont="1" applyFill="1" applyBorder="1" applyAlignment="1">
      <alignment horizontal="center" vertical="center" textRotation="90" wrapText="1"/>
    </xf>
    <xf numFmtId="49" fontId="12" fillId="8" borderId="27" xfId="0" applyNumberFormat="1" applyFont="1" applyFill="1" applyBorder="1" applyAlignment="1">
      <alignment horizontal="center" vertical="center" textRotation="90" wrapText="1"/>
    </xf>
    <xf numFmtId="49" fontId="12" fillId="8" borderId="14" xfId="0" applyNumberFormat="1" applyFont="1" applyFill="1" applyBorder="1" applyAlignment="1">
      <alignment horizontal="center" vertical="center" textRotation="90" wrapText="1"/>
    </xf>
    <xf numFmtId="0" fontId="17" fillId="0" borderId="8" xfId="0" applyNumberFormat="1" applyFont="1" applyBorder="1" applyAlignment="1">
      <alignment horizontal="left" vertical="top" wrapText="1"/>
    </xf>
    <xf numFmtId="0" fontId="17" fillId="0" borderId="27" xfId="0" applyNumberFormat="1" applyFont="1" applyBorder="1" applyAlignment="1">
      <alignment horizontal="left" vertical="top" wrapText="1"/>
    </xf>
    <xf numFmtId="0" fontId="17" fillId="0" borderId="14" xfId="0" applyNumberFormat="1" applyFont="1" applyBorder="1" applyAlignment="1">
      <alignment horizontal="left" vertical="top" wrapText="1"/>
    </xf>
    <xf numFmtId="0" fontId="2" fillId="0" borderId="10" xfId="0" applyNumberFormat="1" applyFont="1" applyBorder="1" applyAlignment="1">
      <alignment horizontal="left" vertical="center" wrapText="1" indent="1"/>
    </xf>
    <xf numFmtId="0" fontId="20" fillId="0" borderId="8" xfId="0" applyNumberFormat="1" applyFont="1" applyBorder="1" applyAlignment="1">
      <alignment horizontal="center" vertical="center" wrapText="1"/>
    </xf>
    <xf numFmtId="0" fontId="20" fillId="0" borderId="14" xfId="0" applyNumberFormat="1" applyFont="1" applyBorder="1" applyAlignment="1">
      <alignment horizontal="center" vertical="center" wrapText="1"/>
    </xf>
    <xf numFmtId="0" fontId="0" fillId="6" borderId="10" xfId="0" applyNumberFormat="1" applyFont="1" applyFill="1" applyBorder="1" applyAlignment="1">
      <alignment horizontal="center" vertical="center" wrapText="1"/>
    </xf>
    <xf numFmtId="0" fontId="20" fillId="0" borderId="5" xfId="0" applyNumberFormat="1" applyFont="1" applyBorder="1" applyAlignment="1">
      <alignment horizontal="left" vertical="center" wrapText="1"/>
    </xf>
    <xf numFmtId="0" fontId="20" fillId="0" borderId="6" xfId="0" applyNumberFormat="1" applyFont="1" applyBorder="1" applyAlignment="1">
      <alignment horizontal="left" vertical="center" wrapText="1"/>
    </xf>
    <xf numFmtId="0" fontId="20" fillId="0" borderId="4" xfId="0" applyNumberFormat="1" applyFont="1" applyBorder="1" applyAlignment="1">
      <alignment horizontal="left" vertical="center" wrapText="1"/>
    </xf>
    <xf numFmtId="0" fontId="0" fillId="0" borderId="27" xfId="0" applyNumberFormat="1" applyFont="1" applyBorder="1" applyAlignment="1">
      <alignment horizontal="center" vertical="center" wrapText="1"/>
    </xf>
    <xf numFmtId="0" fontId="2" fillId="0" borderId="10" xfId="0" applyNumberFormat="1" applyFont="1" applyBorder="1" applyAlignment="1">
      <alignment horizontal="center" vertical="center" wrapText="1"/>
    </xf>
    <xf numFmtId="0" fontId="2" fillId="0" borderId="19" xfId="0" applyNumberFormat="1" applyFont="1" applyBorder="1" applyAlignment="1">
      <alignment horizontal="center" vertical="center" wrapText="1"/>
    </xf>
    <xf numFmtId="0" fontId="2" fillId="0" borderId="3" xfId="0" applyNumberFormat="1" applyFont="1" applyBorder="1" applyAlignment="1">
      <alignment horizontal="center" vertical="center"/>
    </xf>
    <xf numFmtId="0" fontId="2" fillId="0" borderId="5" xfId="0" applyNumberFormat="1" applyFont="1" applyBorder="1" applyAlignment="1">
      <alignment horizontal="center" vertical="center"/>
    </xf>
    <xf numFmtId="0" fontId="2" fillId="11" borderId="11" xfId="0" applyNumberFormat="1" applyFont="1" applyFill="1" applyBorder="1" applyAlignment="1">
      <alignment horizontal="left" vertical="center" wrapText="1"/>
    </xf>
    <xf numFmtId="49" fontId="2" fillId="0" borderId="3" xfId="0" applyNumberFormat="1" applyFont="1" applyBorder="1" applyAlignment="1">
      <alignment horizontal="left" vertical="center" wrapText="1" indent="1"/>
    </xf>
    <xf numFmtId="0" fontId="0" fillId="6" borderId="28" xfId="0" applyNumberFormat="1" applyFont="1" applyFill="1" applyBorder="1" applyAlignment="1">
      <alignment horizontal="center" vertical="center" wrapText="1"/>
    </xf>
    <xf numFmtId="0" fontId="0" fillId="6" borderId="11" xfId="0" applyNumberFormat="1" applyFont="1" applyFill="1" applyBorder="1" applyAlignment="1">
      <alignment horizontal="center" vertical="center" wrapText="1"/>
    </xf>
    <xf numFmtId="0" fontId="0" fillId="6" borderId="13" xfId="0" applyNumberFormat="1" applyFont="1" applyFill="1" applyBorder="1" applyAlignment="1">
      <alignment horizontal="center" vertical="center" wrapText="1"/>
    </xf>
    <xf numFmtId="0" fontId="0" fillId="6" borderId="0" xfId="0" applyNumberFormat="1" applyFont="1" applyFill="1" applyAlignment="1">
      <alignment horizontal="center" vertical="center" wrapText="1"/>
    </xf>
    <xf numFmtId="0" fontId="0" fillId="6" borderId="18" xfId="0" applyNumberFormat="1" applyFont="1" applyFill="1" applyBorder="1" applyAlignment="1">
      <alignment horizontal="center" vertical="center" wrapText="1"/>
    </xf>
    <xf numFmtId="0" fontId="0" fillId="6" borderId="19" xfId="0" applyNumberFormat="1" applyFont="1" applyFill="1" applyBorder="1" applyAlignment="1">
      <alignment horizontal="center" vertical="center" wrapText="1"/>
    </xf>
    <xf numFmtId="0" fontId="0" fillId="6" borderId="21" xfId="0" applyNumberFormat="1" applyFont="1" applyFill="1" applyBorder="1" applyAlignment="1">
      <alignment horizontal="center" vertical="center" wrapText="1"/>
    </xf>
    <xf numFmtId="0" fontId="8" fillId="0" borderId="3" xfId="0" applyNumberFormat="1" applyFont="1" applyBorder="1" applyAlignment="1">
      <alignment horizontal="center" vertical="center" wrapText="1"/>
    </xf>
    <xf numFmtId="49" fontId="2" fillId="10" borderId="8" xfId="0" applyNumberFormat="1" applyFont="1" applyFill="1" applyBorder="1" applyAlignment="1" applyProtection="1">
      <alignment horizontal="left" vertical="center" wrapText="1" indent="6"/>
      <protection locked="0"/>
    </xf>
    <xf numFmtId="49" fontId="2" fillId="10" borderId="27" xfId="0" applyNumberFormat="1" applyFont="1" applyFill="1" applyBorder="1" applyAlignment="1" applyProtection="1">
      <alignment horizontal="left" vertical="center" wrapText="1" indent="6"/>
      <protection locked="0"/>
    </xf>
    <xf numFmtId="49" fontId="2" fillId="10" borderId="14" xfId="0" applyNumberFormat="1" applyFont="1" applyFill="1" applyBorder="1" applyAlignment="1" applyProtection="1">
      <alignment horizontal="left" vertical="center" wrapText="1" indent="6"/>
      <protection locked="0"/>
    </xf>
    <xf numFmtId="0" fontId="2" fillId="6" borderId="8" xfId="0" applyNumberFormat="1" applyFont="1" applyFill="1" applyBorder="1" applyAlignment="1">
      <alignment horizontal="left" vertical="center" wrapText="1"/>
    </xf>
    <xf numFmtId="0" fontId="2" fillId="6" borderId="27" xfId="0" applyNumberFormat="1" applyFont="1" applyFill="1" applyBorder="1" applyAlignment="1">
      <alignment horizontal="left" vertical="center" wrapText="1"/>
    </xf>
    <xf numFmtId="0" fontId="2" fillId="6" borderId="14" xfId="0" applyNumberFormat="1" applyFont="1" applyFill="1" applyBorder="1" applyAlignment="1">
      <alignment horizontal="left" vertical="center" wrapText="1"/>
    </xf>
    <xf numFmtId="0" fontId="20" fillId="0" borderId="15" xfId="0" applyNumberFormat="1" applyFont="1" applyBorder="1" applyAlignment="1">
      <alignment horizontal="center" vertical="top" wrapText="1"/>
    </xf>
    <xf numFmtId="0" fontId="0" fillId="6" borderId="15" xfId="0" applyNumberFormat="1" applyFont="1" applyFill="1" applyBorder="1" applyAlignment="1">
      <alignment horizontal="center" vertical="center" wrapText="1"/>
    </xf>
    <xf numFmtId="0" fontId="2" fillId="6" borderId="28" xfId="0" applyNumberFormat="1" applyFont="1" applyFill="1" applyBorder="1" applyAlignment="1">
      <alignment horizontal="center" vertical="center" wrapText="1"/>
    </xf>
    <xf numFmtId="0" fontId="2" fillId="6" borderId="13" xfId="0" applyNumberFormat="1" applyFont="1" applyFill="1" applyBorder="1" applyAlignment="1">
      <alignment horizontal="center" vertical="center" wrapText="1"/>
    </xf>
    <xf numFmtId="0" fontId="2" fillId="6" borderId="18" xfId="0" applyNumberFormat="1" applyFont="1" applyFill="1" applyBorder="1" applyAlignment="1">
      <alignment horizontal="center" vertical="center" wrapText="1"/>
    </xf>
    <xf numFmtId="0" fontId="2" fillId="10" borderId="3" xfId="0" applyNumberFormat="1" applyFont="1" applyFill="1" applyBorder="1" applyAlignment="1" applyProtection="1">
      <alignment horizontal="center" vertical="center" wrapText="1"/>
      <protection locked="0"/>
    </xf>
    <xf numFmtId="49" fontId="2" fillId="11" borderId="3" xfId="0" applyNumberFormat="1" applyFont="1" applyFill="1" applyBorder="1" applyAlignment="1">
      <alignment horizontal="left" vertical="center" wrapText="1" indent="1"/>
    </xf>
    <xf numFmtId="49" fontId="69" fillId="0" borderId="3" xfId="0" applyNumberFormat="1" applyFont="1" applyBorder="1" applyAlignment="1">
      <alignment horizontal="center" vertical="top" wrapText="1"/>
    </xf>
    <xf numFmtId="0" fontId="69" fillId="12" borderId="3" xfId="0" applyNumberFormat="1" applyFont="1" applyFill="1" applyBorder="1" applyAlignment="1">
      <alignment horizontal="center" vertical="center" wrapText="1"/>
    </xf>
    <xf numFmtId="49" fontId="69" fillId="0" borderId="28" xfId="0" applyNumberFormat="1" applyFont="1" applyBorder="1" applyAlignment="1">
      <alignment horizontal="center" vertical="top" wrapText="1"/>
    </xf>
    <xf numFmtId="49" fontId="69" fillId="0" borderId="18" xfId="0" applyNumberFormat="1" applyFont="1" applyBorder="1" applyAlignment="1">
      <alignment horizontal="center" vertical="top" wrapText="1"/>
    </xf>
    <xf numFmtId="49" fontId="69" fillId="0" borderId="5" xfId="0" applyNumberFormat="1" applyFont="1" applyBorder="1" applyAlignment="1">
      <alignment horizontal="center" vertical="top" wrapText="1"/>
    </xf>
    <xf numFmtId="49" fontId="69" fillId="0" borderId="6" xfId="0" applyNumberFormat="1" applyFont="1" applyBorder="1" applyAlignment="1">
      <alignment horizontal="center" vertical="top" wrapText="1"/>
    </xf>
    <xf numFmtId="49" fontId="69" fillId="0" borderId="4" xfId="0" applyNumberFormat="1" applyFont="1" applyBorder="1" applyAlignment="1">
      <alignment horizontal="center" vertical="top" wrapText="1"/>
    </xf>
    <xf numFmtId="49" fontId="69" fillId="0" borderId="8" xfId="0" applyNumberFormat="1" applyFont="1" applyBorder="1" applyAlignment="1">
      <alignment horizontal="center" vertical="top" wrapText="1"/>
    </xf>
    <xf numFmtId="49" fontId="69" fillId="0" borderId="27" xfId="0" applyNumberFormat="1" applyFont="1" applyBorder="1" applyAlignment="1">
      <alignment horizontal="center" vertical="top" wrapText="1"/>
    </xf>
    <xf numFmtId="49" fontId="69" fillId="0" borderId="14" xfId="0" applyNumberFormat="1" applyFont="1" applyBorder="1" applyAlignment="1">
      <alignment horizontal="center" vertical="top" wrapText="1"/>
    </xf>
    <xf numFmtId="4" fontId="2" fillId="5" borderId="3" xfId="0" applyNumberFormat="1" applyFont="1" applyFill="1" applyBorder="1" applyAlignment="1">
      <alignment horizontal="left" vertical="center" wrapText="1"/>
    </xf>
    <xf numFmtId="0" fontId="2" fillId="11" borderId="3" xfId="0" applyNumberFormat="1" applyFont="1" applyFill="1" applyBorder="1" applyAlignment="1" applyProtection="1">
      <alignment horizontal="left" vertical="center" wrapText="1"/>
      <protection locked="0"/>
    </xf>
    <xf numFmtId="0" fontId="2" fillId="11" borderId="5" xfId="0" applyNumberFormat="1" applyFont="1" applyFill="1" applyBorder="1" applyAlignment="1" applyProtection="1">
      <alignment horizontal="left" vertical="center" wrapText="1"/>
      <protection locked="0"/>
    </xf>
    <xf numFmtId="0" fontId="2" fillId="11" borderId="6" xfId="0" applyNumberFormat="1" applyFont="1" applyFill="1" applyBorder="1" applyAlignment="1" applyProtection="1">
      <alignment horizontal="left" vertical="center" wrapText="1"/>
      <protection locked="0"/>
    </xf>
    <xf numFmtId="0" fontId="2" fillId="11" borderId="4" xfId="0" applyNumberFormat="1" applyFont="1" applyFill="1" applyBorder="1" applyAlignment="1" applyProtection="1">
      <alignment horizontal="left" vertical="center" wrapText="1"/>
      <protection locked="0"/>
    </xf>
    <xf numFmtId="0" fontId="2" fillId="0" borderId="0" xfId="0" applyNumberFormat="1" applyFont="1" applyAlignment="1">
      <alignment horizontal="right" vertical="center" wrapText="1"/>
    </xf>
    <xf numFmtId="0" fontId="7" fillId="6" borderId="0" xfId="0" applyNumberFormat="1" applyFont="1" applyFill="1" applyAlignment="1">
      <alignment horizontal="center" vertical="center" wrapText="1"/>
    </xf>
    <xf numFmtId="0" fontId="2" fillId="5" borderId="3" xfId="0" applyNumberFormat="1" applyFont="1" applyFill="1" applyBorder="1" applyAlignment="1">
      <alignment horizontal="left" vertical="center" wrapText="1"/>
    </xf>
    <xf numFmtId="0" fontId="55" fillId="0" borderId="0" xfId="0" applyNumberFormat="1" applyFont="1" applyAlignment="1">
      <alignment horizontal="center" vertical="center" wrapText="1"/>
    </xf>
    <xf numFmtId="49" fontId="12" fillId="8" borderId="3" xfId="0" applyNumberFormat="1" applyFont="1" applyFill="1" applyBorder="1" applyAlignment="1">
      <alignment horizontal="center" vertical="center" textRotation="90" wrapText="1"/>
    </xf>
    <xf numFmtId="0" fontId="18" fillId="0" borderId="6" xfId="0" applyNumberFormat="1" applyFont="1" applyBorder="1" applyAlignment="1">
      <alignment horizontal="left" vertical="center" wrapText="1" indent="1"/>
    </xf>
    <xf numFmtId="0" fontId="2" fillId="5" borderId="5" xfId="0" applyNumberFormat="1" applyFont="1" applyFill="1" applyBorder="1" applyAlignment="1">
      <alignment horizontal="left" vertical="center" wrapText="1" indent="1"/>
    </xf>
    <xf numFmtId="0" fontId="2" fillId="5" borderId="6" xfId="0" applyNumberFormat="1" applyFont="1" applyFill="1" applyBorder="1" applyAlignment="1">
      <alignment horizontal="left" vertical="center" wrapText="1" indent="1"/>
    </xf>
    <xf numFmtId="0" fontId="2" fillId="5" borderId="4" xfId="0" applyNumberFormat="1" applyFont="1" applyFill="1" applyBorder="1" applyAlignment="1">
      <alignment horizontal="left" vertical="center" wrapText="1" indent="1"/>
    </xf>
    <xf numFmtId="0" fontId="0" fillId="0" borderId="3" xfId="0" applyNumberFormat="1" applyFont="1" applyBorder="1" applyAlignment="1">
      <alignment horizontal="left" vertical="center" wrapText="1"/>
    </xf>
    <xf numFmtId="0" fontId="0" fillId="0" borderId="3" xfId="0" applyNumberFormat="1" applyFont="1" applyBorder="1" applyAlignment="1">
      <alignment horizontal="left" vertical="center" wrapText="1" indent="1"/>
    </xf>
    <xf numFmtId="0" fontId="2" fillId="5" borderId="5" xfId="0" applyNumberFormat="1" applyFont="1" applyFill="1" applyBorder="1" applyAlignment="1">
      <alignment horizontal="left" vertical="top" wrapText="1" indent="1"/>
    </xf>
    <xf numFmtId="0" fontId="2" fillId="5" borderId="4" xfId="0" applyNumberFormat="1" applyFont="1" applyFill="1" applyBorder="1" applyAlignment="1">
      <alignment horizontal="left" vertical="top" wrapText="1" indent="1"/>
    </xf>
    <xf numFmtId="0" fontId="2" fillId="0" borderId="6" xfId="0" applyNumberFormat="1" applyFont="1" applyBorder="1" applyAlignment="1">
      <alignment horizontal="right" vertical="center" wrapText="1" indent="1"/>
    </xf>
    <xf numFmtId="0" fontId="2" fillId="0" borderId="4" xfId="0" applyNumberFormat="1" applyFont="1" applyBorder="1" applyAlignment="1">
      <alignment horizontal="right" vertical="center" wrapText="1" indent="1"/>
    </xf>
    <xf numFmtId="0" fontId="2" fillId="0" borderId="5" xfId="0" applyNumberFormat="1" applyFont="1" applyBorder="1" applyAlignment="1">
      <alignment horizontal="right" vertical="center" wrapText="1"/>
    </xf>
    <xf numFmtId="0" fontId="2" fillId="0" borderId="6" xfId="0" applyNumberFormat="1" applyFont="1" applyBorder="1" applyAlignment="1">
      <alignment horizontal="right" vertical="center" wrapText="1"/>
    </xf>
    <xf numFmtId="49" fontId="2" fillId="0" borderId="0" xfId="0" applyNumberFormat="1" applyFont="1" applyAlignment="1">
      <alignment vertical="center" wrapText="1"/>
    </xf>
    <xf numFmtId="0" fontId="8" fillId="0" borderId="15" xfId="0" applyNumberFormat="1" applyFont="1" applyBorder="1" applyAlignment="1">
      <alignment horizontal="center" vertical="center" wrapText="1"/>
    </xf>
    <xf numFmtId="0" fontId="11" fillId="6" borderId="15" xfId="0" applyNumberFormat="1" applyFont="1" applyFill="1" applyBorder="1" applyAlignment="1">
      <alignment horizontal="center" vertical="top" wrapText="1"/>
    </xf>
    <xf numFmtId="0" fontId="2" fillId="6" borderId="5" xfId="0" applyNumberFormat="1" applyFont="1" applyFill="1" applyBorder="1" applyAlignment="1">
      <alignment horizontal="center" vertical="center" wrapText="1"/>
    </xf>
    <xf numFmtId="0" fontId="2" fillId="6" borderId="6" xfId="0" applyNumberFormat="1" applyFont="1" applyFill="1" applyBorder="1" applyAlignment="1">
      <alignment horizontal="center" vertical="center" wrapText="1"/>
    </xf>
    <xf numFmtId="0" fontId="2" fillId="6" borderId="4" xfId="0" applyNumberFormat="1" applyFont="1" applyFill="1" applyBorder="1" applyAlignment="1">
      <alignment horizontal="center" vertical="center" wrapText="1"/>
    </xf>
    <xf numFmtId="49" fontId="7" fillId="6" borderId="10" xfId="0" applyNumberFormat="1" applyFont="1" applyFill="1" applyBorder="1" applyAlignment="1">
      <alignment horizontal="center" vertical="center" wrapText="1"/>
    </xf>
    <xf numFmtId="0" fontId="0" fillId="0" borderId="8" xfId="0" applyNumberFormat="1" applyFont="1" applyBorder="1" applyAlignment="1">
      <alignment horizontal="left" vertical="center" wrapText="1"/>
    </xf>
    <xf numFmtId="0" fontId="2" fillId="7" borderId="5" xfId="0" applyNumberFormat="1" applyFont="1" applyFill="1" applyBorder="1" applyAlignment="1" applyProtection="1">
      <alignment horizontal="left" vertical="center" wrapText="1"/>
      <protection locked="0"/>
    </xf>
    <xf numFmtId="0" fontId="2" fillId="7" borderId="6" xfId="0" applyNumberFormat="1" applyFont="1" applyFill="1" applyBorder="1" applyAlignment="1" applyProtection="1">
      <alignment horizontal="left" vertical="center" wrapText="1"/>
      <protection locked="0"/>
    </xf>
    <xf numFmtId="0" fontId="2" fillId="7" borderId="4" xfId="0" applyNumberFormat="1" applyFont="1" applyFill="1" applyBorder="1" applyAlignment="1" applyProtection="1">
      <alignment horizontal="left" vertical="center" wrapText="1"/>
      <protection locked="0"/>
    </xf>
    <xf numFmtId="49" fontId="2" fillId="7" borderId="5" xfId="0" applyNumberFormat="1" applyFont="1" applyFill="1" applyBorder="1" applyAlignment="1" applyProtection="1">
      <alignment horizontal="left" vertical="center" wrapText="1"/>
      <protection locked="0"/>
    </xf>
    <xf numFmtId="49" fontId="2" fillId="7" borderId="6" xfId="0" applyNumberFormat="1" applyFont="1" applyFill="1" applyBorder="1" applyAlignment="1" applyProtection="1">
      <alignment horizontal="left" vertical="center" wrapText="1"/>
      <protection locked="0"/>
    </xf>
    <xf numFmtId="49" fontId="2" fillId="7" borderId="4" xfId="0" applyNumberFormat="1" applyFont="1" applyFill="1" applyBorder="1" applyAlignment="1" applyProtection="1">
      <alignment horizontal="left" vertical="center" wrapText="1"/>
      <protection locked="0"/>
    </xf>
    <xf numFmtId="0" fontId="17" fillId="0" borderId="3" xfId="0" applyNumberFormat="1" applyFont="1" applyBorder="1" applyAlignment="1">
      <alignment horizontal="left" vertical="top" wrapText="1"/>
    </xf>
    <xf numFmtId="49" fontId="2" fillId="11" borderId="3" xfId="0" applyNumberFormat="1" applyFont="1" applyFill="1" applyBorder="1" applyAlignment="1" applyProtection="1">
      <alignment horizontal="left" vertical="center" wrapText="1" indent="1"/>
      <protection locked="0"/>
    </xf>
    <xf numFmtId="4" fontId="2" fillId="10" borderId="3" xfId="0" applyNumberFormat="1" applyFont="1" applyFill="1" applyBorder="1" applyAlignment="1" applyProtection="1">
      <alignment horizontal="left" vertical="center" wrapText="1" indent="1"/>
      <protection locked="0"/>
    </xf>
    <xf numFmtId="49" fontId="2" fillId="7" borderId="8" xfId="0" applyNumberFormat="1" applyFont="1" applyFill="1" applyBorder="1" applyAlignment="1" applyProtection="1">
      <alignment horizontal="left" vertical="center" wrapText="1" indent="6"/>
      <protection locked="0"/>
    </xf>
    <xf numFmtId="49" fontId="2" fillId="7" borderId="27" xfId="0" applyNumberFormat="1" applyFont="1" applyFill="1" applyBorder="1" applyAlignment="1" applyProtection="1">
      <alignment horizontal="left" vertical="center" wrapText="1" indent="6"/>
      <protection locked="0"/>
    </xf>
    <xf numFmtId="49" fontId="2" fillId="7" borderId="14" xfId="0" applyNumberFormat="1" applyFont="1" applyFill="1" applyBorder="1" applyAlignment="1" applyProtection="1">
      <alignment horizontal="left" vertical="center" wrapText="1" indent="6"/>
      <protection locked="0"/>
    </xf>
    <xf numFmtId="4" fontId="2" fillId="10" borderId="3" xfId="0" applyNumberFormat="1" applyFont="1" applyFill="1" applyBorder="1" applyAlignment="1" applyProtection="1">
      <alignment horizontal="center" vertical="center" wrapText="1"/>
      <protection locked="0"/>
    </xf>
    <xf numFmtId="49" fontId="2" fillId="11" borderId="11" xfId="0" applyNumberFormat="1" applyFont="1" applyFill="1" applyBorder="1" applyAlignment="1">
      <alignment horizontal="center" vertical="center" wrapText="1"/>
    </xf>
    <xf numFmtId="49" fontId="2" fillId="11" borderId="21" xfId="0" applyNumberFormat="1" applyFont="1" applyFill="1" applyBorder="1" applyAlignment="1">
      <alignment horizontal="center" vertical="center" wrapText="1"/>
    </xf>
    <xf numFmtId="0" fontId="20" fillId="0" borderId="10" xfId="0" applyNumberFormat="1" applyFont="1" applyBorder="1" applyAlignment="1">
      <alignment horizontal="left" vertical="center" wrapText="1"/>
    </xf>
    <xf numFmtId="49" fontId="65" fillId="17" borderId="0" xfId="0" applyNumberFormat="1" applyFont="1" applyFill="1" applyAlignment="1">
      <alignment horizontal="center" vertical="center" textRotation="90" wrapText="1"/>
    </xf>
    <xf numFmtId="0" fontId="46" fillId="0" borderId="0" xfId="0" applyNumberFormat="1" applyFont="1" applyAlignment="1">
      <alignment horizontal="center" vertical="center" wrapText="1"/>
    </xf>
    <xf numFmtId="49" fontId="20" fillId="0" borderId="8" xfId="0" applyNumberFormat="1" applyFont="1" applyBorder="1" applyAlignment="1">
      <alignment horizontal="center" vertical="center" wrapText="1"/>
    </xf>
    <xf numFmtId="49" fontId="20" fillId="0" borderId="27" xfId="0" applyNumberFormat="1" applyFont="1" applyBorder="1" applyAlignment="1">
      <alignment horizontal="center" vertical="center" wrapText="1"/>
    </xf>
    <xf numFmtId="49" fontId="20" fillId="0" borderId="14" xfId="0" applyNumberFormat="1" applyFont="1" applyBorder="1" applyAlignment="1">
      <alignment horizontal="center" vertical="center" wrapText="1"/>
    </xf>
    <xf numFmtId="0" fontId="17" fillId="0" borderId="0" xfId="0" applyNumberFormat="1" applyFont="1" applyAlignment="1">
      <alignment horizontal="left" vertical="top" wrapText="1"/>
    </xf>
    <xf numFmtId="0" fontId="20" fillId="0" borderId="6" xfId="0" applyNumberFormat="1" applyFont="1" applyBorder="1" applyAlignment="1">
      <alignment horizontal="right" vertical="center" wrapText="1" indent="1"/>
    </xf>
    <xf numFmtId="0" fontId="20" fillId="0" borderId="4" xfId="0" applyNumberFormat="1" applyFont="1" applyBorder="1" applyAlignment="1">
      <alignment horizontal="right" vertical="center" wrapText="1" indent="1"/>
    </xf>
    <xf numFmtId="0" fontId="2" fillId="5" borderId="5" xfId="0" applyNumberFormat="1" applyFont="1" applyFill="1" applyBorder="1" applyAlignment="1">
      <alignment horizontal="left" vertical="top" wrapText="1"/>
    </xf>
    <xf numFmtId="0" fontId="2" fillId="5" borderId="4" xfId="0" applyNumberFormat="1" applyFont="1" applyFill="1" applyBorder="1" applyAlignment="1">
      <alignment horizontal="left" vertical="top" wrapText="1"/>
    </xf>
    <xf numFmtId="49" fontId="2" fillId="26" borderId="0" xfId="0" applyNumberFormat="1" applyFont="1" applyFill="1" applyAlignment="1">
      <alignment horizontal="center" vertical="center" textRotation="90" wrapText="1"/>
    </xf>
    <xf numFmtId="49" fontId="0" fillId="0" borderId="3" xfId="0" applyNumberFormat="1" applyFont="1" applyBorder="1" applyAlignment="1">
      <alignment horizontal="center" vertical="center" wrapText="1"/>
    </xf>
    <xf numFmtId="49" fontId="2" fillId="0" borderId="5" xfId="0" applyNumberFormat="1" applyFont="1" applyBorder="1" applyAlignment="1">
      <alignment horizontal="center" vertical="center" wrapText="1"/>
    </xf>
    <xf numFmtId="0" fontId="2" fillId="0" borderId="0" xfId="0" applyNumberFormat="1" applyFont="1" applyAlignment="1">
      <alignment horizontal="left" vertical="center" wrapText="1"/>
    </xf>
    <xf numFmtId="0" fontId="2" fillId="6" borderId="11" xfId="0" applyNumberFormat="1" applyFont="1" applyFill="1" applyBorder="1" applyAlignment="1">
      <alignment horizontal="center" vertical="center" wrapText="1"/>
    </xf>
    <xf numFmtId="0" fontId="2" fillId="6" borderId="21" xfId="0" applyNumberFormat="1" applyFont="1" applyFill="1" applyBorder="1" applyAlignment="1">
      <alignment horizontal="center" vertical="center" wrapText="1"/>
    </xf>
    <xf numFmtId="0" fontId="2" fillId="0" borderId="53" xfId="0" applyNumberFormat="1" applyFont="1" applyBorder="1" applyAlignment="1">
      <alignment horizontal="center" vertical="center"/>
    </xf>
    <xf numFmtId="0" fontId="2" fillId="0" borderId="54" xfId="0" applyNumberFormat="1" applyFont="1" applyBorder="1" applyAlignment="1">
      <alignment horizontal="center" vertical="center"/>
    </xf>
    <xf numFmtId="0" fontId="2" fillId="0" borderId="60" xfId="0" applyNumberFormat="1" applyFont="1" applyBorder="1" applyAlignment="1">
      <alignment horizontal="center" vertical="center"/>
    </xf>
    <xf numFmtId="0" fontId="2" fillId="0" borderId="66" xfId="0" applyNumberFormat="1" applyFont="1" applyBorder="1" applyAlignment="1">
      <alignment horizontal="center" vertical="center"/>
    </xf>
    <xf numFmtId="0" fontId="2" fillId="0" borderId="34" xfId="0" applyNumberFormat="1" applyFont="1" applyBorder="1" applyAlignment="1">
      <alignment horizontal="center" vertical="center"/>
    </xf>
    <xf numFmtId="49" fontId="0" fillId="0" borderId="3" xfId="0" applyNumberFormat="1" applyFont="1" applyBorder="1" applyAlignment="1">
      <alignment vertical="center" wrapText="1"/>
    </xf>
    <xf numFmtId="49" fontId="0" fillId="0" borderId="3" xfId="0" applyNumberFormat="1" applyFont="1" applyBorder="1" applyAlignment="1">
      <alignment horizontal="left" vertical="center" wrapText="1"/>
    </xf>
    <xf numFmtId="49" fontId="0" fillId="0" borderId="8" xfId="0" applyNumberFormat="1" applyFont="1" applyBorder="1" applyAlignment="1">
      <alignment horizontal="center" vertical="center" wrapText="1"/>
    </xf>
    <xf numFmtId="49" fontId="0" fillId="0" borderId="27" xfId="0" applyNumberFormat="1" applyFont="1" applyBorder="1" applyAlignment="1">
      <alignment horizontal="center" vertical="center" wrapText="1"/>
    </xf>
    <xf numFmtId="49" fontId="0" fillId="0" borderId="14" xfId="0" applyNumberFormat="1" applyFont="1" applyBorder="1" applyAlignment="1">
      <alignment horizontal="center" vertical="center" wrapText="1"/>
    </xf>
    <xf numFmtId="0" fontId="0" fillId="5" borderId="3" xfId="0" applyNumberFormat="1" applyFont="1" applyFill="1" applyBorder="1" applyAlignment="1">
      <alignment horizontal="center" vertical="center" wrapText="1"/>
    </xf>
    <xf numFmtId="49" fontId="0" fillId="0" borderId="3" xfId="0" applyNumberFormat="1" applyFont="1" applyBorder="1" applyAlignment="1">
      <alignment horizontal="center" vertical="center"/>
    </xf>
    <xf numFmtId="0" fontId="2" fillId="12" borderId="3" xfId="0" applyNumberFormat="1" applyFont="1" applyFill="1" applyBorder="1" applyAlignment="1">
      <alignment horizontal="center" vertical="center" wrapText="1"/>
    </xf>
    <xf numFmtId="0" fontId="2" fillId="12" borderId="5" xfId="0" applyNumberFormat="1" applyFont="1" applyFill="1" applyBorder="1" applyAlignment="1">
      <alignment horizontal="center" vertical="center" wrapText="1"/>
    </xf>
    <xf numFmtId="49" fontId="2" fillId="22" borderId="5" xfId="0" applyNumberFormat="1" applyFont="1" applyFill="1" applyBorder="1" applyAlignment="1">
      <alignment horizontal="center" vertical="center" wrapText="1"/>
    </xf>
    <xf numFmtId="49" fontId="2" fillId="22" borderId="6" xfId="0" applyNumberFormat="1" applyFont="1" applyFill="1" applyBorder="1" applyAlignment="1">
      <alignment horizontal="center" vertical="center" wrapText="1"/>
    </xf>
    <xf numFmtId="49" fontId="2" fillId="12" borderId="10" xfId="0" applyNumberFormat="1" applyFont="1" applyFill="1" applyBorder="1" applyAlignment="1">
      <alignment horizontal="center" vertical="center" wrapText="1"/>
    </xf>
    <xf numFmtId="49" fontId="2" fillId="12" borderId="0" xfId="0" applyNumberFormat="1" applyFont="1" applyFill="1" applyAlignment="1">
      <alignment horizontal="center" vertical="center" wrapText="1"/>
    </xf>
    <xf numFmtId="49" fontId="2" fillId="12" borderId="19" xfId="0" applyNumberFormat="1" applyFont="1" applyFill="1" applyBorder="1" applyAlignment="1">
      <alignment horizontal="center" vertical="center" wrapText="1"/>
    </xf>
    <xf numFmtId="0" fontId="2" fillId="12" borderId="4" xfId="0" applyNumberFormat="1" applyFont="1" applyFill="1" applyBorder="1" applyAlignment="1">
      <alignment horizontal="center" vertical="center" wrapText="1"/>
    </xf>
    <xf numFmtId="0" fontId="2" fillId="20" borderId="5" xfId="0" applyNumberFormat="1" applyFont="1" applyFill="1" applyBorder="1" applyAlignment="1">
      <alignment horizontal="center" vertical="center" wrapText="1"/>
    </xf>
    <xf numFmtId="0" fontId="2" fillId="20" borderId="6" xfId="0" applyNumberFormat="1" applyFont="1" applyFill="1" applyBorder="1" applyAlignment="1">
      <alignment horizontal="center" vertical="center" wrapText="1"/>
    </xf>
    <xf numFmtId="0" fontId="2" fillId="20" borderId="4" xfId="0" applyNumberFormat="1" applyFont="1" applyFill="1" applyBorder="1" applyAlignment="1">
      <alignment horizontal="center" vertical="center" wrapText="1"/>
    </xf>
    <xf numFmtId="49" fontId="19" fillId="18" borderId="5" xfId="0" applyNumberFormat="1" applyFont="1" applyFill="1" applyBorder="1" applyAlignment="1">
      <alignment horizontal="center" vertical="center" wrapText="1"/>
    </xf>
    <xf numFmtId="49" fontId="19" fillId="18" borderId="6" xfId="0" applyNumberFormat="1" applyFont="1" applyFill="1" applyBorder="1" applyAlignment="1">
      <alignment horizontal="center" vertical="center" wrapText="1"/>
    </xf>
    <xf numFmtId="49" fontId="19" fillId="18" borderId="4" xfId="0" applyNumberFormat="1" applyFont="1" applyFill="1" applyBorder="1" applyAlignment="1">
      <alignment horizontal="center" vertical="center" wrapText="1"/>
    </xf>
    <xf numFmtId="49" fontId="19" fillId="21" borderId="5" xfId="0" applyNumberFormat="1" applyFont="1" applyFill="1" applyBorder="1" applyAlignment="1">
      <alignment horizontal="center" vertical="center" wrapText="1"/>
    </xf>
    <xf numFmtId="49" fontId="19" fillId="21" borderId="6" xfId="0" applyNumberFormat="1" applyFont="1" applyFill="1" applyBorder="1" applyAlignment="1">
      <alignment horizontal="center" vertical="center" wrapText="1"/>
    </xf>
    <xf numFmtId="49" fontId="19" fillId="21" borderId="4" xfId="0" applyNumberFormat="1" applyFont="1" applyFill="1" applyBorder="1" applyAlignment="1">
      <alignment horizontal="center" vertical="center" wrapText="1"/>
    </xf>
    <xf numFmtId="49" fontId="2" fillId="12" borderId="3" xfId="0" applyNumberFormat="1" applyFont="1" applyFill="1" applyBorder="1" applyAlignment="1">
      <alignment horizontal="center" vertical="center" wrapText="1"/>
    </xf>
    <xf numFmtId="49" fontId="2" fillId="0" borderId="6" xfId="0" applyNumberFormat="1" applyFont="1" applyBorder="1" applyAlignment="1">
      <alignment horizontal="center" vertical="center" wrapText="1"/>
    </xf>
    <xf numFmtId="49" fontId="2" fillId="0" borderId="0" xfId="0" applyNumberFormat="1" applyFont="1" applyAlignment="1">
      <alignment horizontal="left" vertical="top" wrapText="1"/>
    </xf>
    <xf numFmtId="0" fontId="2" fillId="0" borderId="4" xfId="0" applyNumberFormat="1" applyFont="1" applyBorder="1" applyAlignment="1">
      <alignment horizontal="left" vertical="center" wrapText="1" indent="1"/>
    </xf>
    <xf numFmtId="0" fontId="2" fillId="0" borderId="5" xfId="0" applyNumberFormat="1" applyFont="1" applyBorder="1" applyAlignment="1">
      <alignment horizontal="left" vertical="center" wrapText="1" indent="1"/>
    </xf>
    <xf numFmtId="0" fontId="0" fillId="6" borderId="8" xfId="0" applyNumberFormat="1" applyFont="1" applyFill="1" applyBorder="1" applyAlignment="1">
      <alignment horizontal="left" vertical="top" wrapText="1"/>
    </xf>
    <xf numFmtId="0" fontId="0" fillId="6" borderId="27" xfId="0" applyNumberFormat="1" applyFont="1" applyFill="1" applyBorder="1" applyAlignment="1">
      <alignment horizontal="left" vertical="top" wrapText="1"/>
    </xf>
    <xf numFmtId="0" fontId="0" fillId="6" borderId="14" xfId="0" applyNumberFormat="1" applyFont="1" applyFill="1" applyBorder="1" applyAlignment="1">
      <alignment horizontal="left" vertical="top" wrapText="1"/>
    </xf>
    <xf numFmtId="4" fontId="2" fillId="0" borderId="8" xfId="0" applyNumberFormat="1" applyFont="1" applyBorder="1" applyAlignment="1">
      <alignment horizontal="center" vertical="center" wrapText="1"/>
    </xf>
    <xf numFmtId="4" fontId="2" fillId="0" borderId="14" xfId="0" applyNumberFormat="1" applyFont="1" applyBorder="1" applyAlignment="1">
      <alignment horizontal="center" vertical="center" wrapText="1"/>
    </xf>
    <xf numFmtId="49" fontId="2" fillId="0" borderId="11" xfId="0" applyNumberFormat="1" applyFont="1" applyBorder="1" applyAlignment="1">
      <alignment horizontal="left" vertical="top" wrapText="1"/>
    </xf>
    <xf numFmtId="49" fontId="2" fillId="0" borderId="21" xfId="0" applyNumberFormat="1" applyFont="1" applyBorder="1" applyAlignment="1">
      <alignment horizontal="left" vertical="top" wrapText="1"/>
    </xf>
    <xf numFmtId="4" fontId="2" fillId="0" borderId="27" xfId="0" applyNumberFormat="1" applyFont="1" applyBorder="1" applyAlignment="1">
      <alignment horizontal="center" vertical="center" wrapText="1"/>
    </xf>
    <xf numFmtId="168" fontId="2" fillId="0" borderId="8" xfId="0" applyNumberFormat="1" applyFont="1" applyBorder="1" applyAlignment="1">
      <alignment horizontal="center" vertical="center" wrapText="1"/>
    </xf>
    <xf numFmtId="168" fontId="2" fillId="0" borderId="14" xfId="0" applyNumberFormat="1" applyFont="1" applyBorder="1" applyAlignment="1">
      <alignment horizontal="center" vertical="center" wrapText="1"/>
    </xf>
    <xf numFmtId="168" fontId="2" fillId="0" borderId="5" xfId="0" applyNumberFormat="1" applyFont="1" applyBorder="1" applyAlignment="1">
      <alignment horizontal="center" vertical="center" wrapText="1"/>
    </xf>
    <xf numFmtId="168" fontId="2" fillId="0" borderId="6" xfId="0" applyNumberFormat="1" applyFont="1" applyBorder="1" applyAlignment="1">
      <alignment horizontal="center" vertical="center" wrapText="1"/>
    </xf>
    <xf numFmtId="168" fontId="2" fillId="0" borderId="4" xfId="0" applyNumberFormat="1" applyFont="1" applyBorder="1" applyAlignment="1">
      <alignment horizontal="center" vertical="center" wrapText="1"/>
    </xf>
    <xf numFmtId="14" fontId="2" fillId="11" borderId="3" xfId="0" applyNumberFormat="1" applyFont="1" applyFill="1" applyBorder="1" applyAlignment="1">
      <alignment horizontal="left" vertical="center" wrapText="1"/>
    </xf>
    <xf numFmtId="49" fontId="2" fillId="11" borderId="5" xfId="0" applyNumberFormat="1" applyFont="1" applyFill="1" applyBorder="1" applyAlignment="1">
      <alignment horizontal="left" vertical="center" wrapText="1"/>
    </xf>
    <xf numFmtId="0" fontId="2" fillId="5" borderId="14" xfId="0" applyNumberFormat="1" applyFont="1" applyFill="1" applyBorder="1" applyAlignment="1">
      <alignment horizontal="left" vertical="center" wrapText="1"/>
    </xf>
    <xf numFmtId="14" fontId="2" fillId="11" borderId="14" xfId="0" applyNumberFormat="1" applyFont="1" applyFill="1" applyBorder="1" applyAlignment="1">
      <alignment horizontal="left" vertical="center" wrapText="1"/>
    </xf>
    <xf numFmtId="168" fontId="2" fillId="0" borderId="3" xfId="0" applyNumberFormat="1" applyFont="1" applyBorder="1" applyAlignment="1">
      <alignment horizontal="center" vertical="center" wrapText="1"/>
    </xf>
    <xf numFmtId="168" fontId="17" fillId="0" borderId="48" xfId="0" applyNumberFormat="1" applyFont="1" applyBorder="1" applyAlignment="1">
      <alignment horizontal="center" vertical="center" wrapText="1"/>
    </xf>
    <xf numFmtId="168" fontId="17" fillId="0" borderId="42" xfId="0" applyNumberFormat="1" applyFont="1" applyBorder="1" applyAlignment="1">
      <alignment horizontal="center" vertical="center" wrapText="1"/>
    </xf>
    <xf numFmtId="168" fontId="17" fillId="0" borderId="67" xfId="0" applyNumberFormat="1" applyFont="1" applyBorder="1" applyAlignment="1">
      <alignment horizontal="center" vertical="center" wrapText="1"/>
    </xf>
    <xf numFmtId="49" fontId="2" fillId="11" borderId="18" xfId="0" applyNumberFormat="1" applyFont="1" applyFill="1" applyBorder="1" applyAlignment="1">
      <alignment horizontal="left" vertical="center" wrapText="1"/>
    </xf>
    <xf numFmtId="49" fontId="0" fillId="0" borderId="6" xfId="0" applyNumberFormat="1" applyFont="1" applyBorder="1" applyAlignment="1">
      <alignment horizontal="left" vertical="center" indent="1"/>
    </xf>
    <xf numFmtId="49" fontId="0" fillId="0" borderId="3" xfId="0" applyNumberFormat="1" applyFont="1" applyBorder="1" applyAlignment="1">
      <alignment horizontal="center" vertical="top"/>
    </xf>
    <xf numFmtId="49" fontId="0" fillId="0" borderId="5" xfId="0" applyNumberFormat="1" applyFont="1" applyBorder="1" applyAlignment="1">
      <alignment horizontal="center" vertical="top"/>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worksheet" Target="worksheets/sheet50.xml"/><Relationship Id="rId55" Type="http://schemas.openxmlformats.org/officeDocument/2006/relationships/worksheet" Target="worksheets/sheet55.xml"/><Relationship Id="rId63" Type="http://schemas.openxmlformats.org/officeDocument/2006/relationships/worksheet" Target="worksheets/sheet63.xml"/><Relationship Id="rId68" Type="http://schemas.openxmlformats.org/officeDocument/2006/relationships/worksheet" Target="worksheets/sheet68.xml"/><Relationship Id="rId76" Type="http://schemas.openxmlformats.org/officeDocument/2006/relationships/worksheet" Target="worksheets/sheet76.xml"/><Relationship Id="rId84" Type="http://schemas.openxmlformats.org/officeDocument/2006/relationships/worksheet" Target="worksheets/sheet84.xml"/><Relationship Id="rId89" Type="http://schemas.openxmlformats.org/officeDocument/2006/relationships/sharedStrings" Target="sharedStrings.xml"/><Relationship Id="rId7" Type="http://schemas.openxmlformats.org/officeDocument/2006/relationships/worksheet" Target="worksheets/sheet7.xml"/><Relationship Id="rId71" Type="http://schemas.openxmlformats.org/officeDocument/2006/relationships/worksheet" Target="worksheets/sheet71.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worksheet" Target="worksheets/sheet53.xml"/><Relationship Id="rId58" Type="http://schemas.openxmlformats.org/officeDocument/2006/relationships/worksheet" Target="worksheets/sheet58.xml"/><Relationship Id="rId66" Type="http://schemas.openxmlformats.org/officeDocument/2006/relationships/worksheet" Target="worksheets/sheet66.xml"/><Relationship Id="rId74" Type="http://schemas.openxmlformats.org/officeDocument/2006/relationships/worksheet" Target="worksheets/sheet74.xml"/><Relationship Id="rId79" Type="http://schemas.openxmlformats.org/officeDocument/2006/relationships/worksheet" Target="worksheets/sheet79.xml"/><Relationship Id="rId87" Type="http://schemas.openxmlformats.org/officeDocument/2006/relationships/theme" Target="theme/theme1.xml"/><Relationship Id="rId5" Type="http://schemas.openxmlformats.org/officeDocument/2006/relationships/worksheet" Target="worksheets/sheet5.xml"/><Relationship Id="rId61" Type="http://schemas.openxmlformats.org/officeDocument/2006/relationships/worksheet" Target="worksheets/sheet61.xml"/><Relationship Id="rId82" Type="http://schemas.openxmlformats.org/officeDocument/2006/relationships/worksheet" Target="worksheets/sheet82.xml"/><Relationship Id="rId90" Type="http://schemas.openxmlformats.org/officeDocument/2006/relationships/calcChain" Target="calcChain.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worksheet" Target="worksheets/sheet64.xml"/><Relationship Id="rId69" Type="http://schemas.openxmlformats.org/officeDocument/2006/relationships/worksheet" Target="worksheets/sheet69.xml"/><Relationship Id="rId77" Type="http://schemas.openxmlformats.org/officeDocument/2006/relationships/worksheet" Target="worksheets/sheet77.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80" Type="http://schemas.openxmlformats.org/officeDocument/2006/relationships/worksheet" Target="worksheets/sheet80.xml"/><Relationship Id="rId85" Type="http://schemas.openxmlformats.org/officeDocument/2006/relationships/worksheet" Target="worksheets/sheet85.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worksheet" Target="worksheets/sheet67.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70" Type="http://schemas.openxmlformats.org/officeDocument/2006/relationships/worksheet" Target="worksheets/sheet70.xml"/><Relationship Id="rId75" Type="http://schemas.openxmlformats.org/officeDocument/2006/relationships/worksheet" Target="worksheets/sheet75.xml"/><Relationship Id="rId83" Type="http://schemas.openxmlformats.org/officeDocument/2006/relationships/worksheet" Target="worksheets/sheet83.xml"/><Relationship Id="rId88"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73" Type="http://schemas.openxmlformats.org/officeDocument/2006/relationships/worksheet" Target="worksheets/sheet73.xml"/><Relationship Id="rId78" Type="http://schemas.openxmlformats.org/officeDocument/2006/relationships/worksheet" Target="worksheets/sheet78.xml"/><Relationship Id="rId81" Type="http://schemas.openxmlformats.org/officeDocument/2006/relationships/worksheet" Target="worksheets/sheet81.xml"/><Relationship Id="rId86" Type="http://schemas.openxmlformats.org/officeDocument/2006/relationships/worksheet" Target="worksheets/sheet86.xml"/></Relationships>
</file>

<file path=xl/drawings/_rels/drawing1.xml.rels><?xml version="1.0" encoding="UTF-8" standalone="yes"?>
<Relationships xmlns="http://schemas.openxmlformats.org/package/2006/relationships"><Relationship Id="rId3" Type="http://schemas.openxmlformats.org/officeDocument/2006/relationships/image" Target="../media/image3.jpeg"/><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5.png"/><Relationship Id="rId1" Type="http://schemas.openxmlformats.org/officeDocument/2006/relationships/image" Target="../media/image4.png"/></Relationships>
</file>

<file path=xl/drawings/_rels/drawing3.xml.rels><?xml version="1.0" encoding="UTF-8" standalone="yes"?>
<Relationships xmlns="http://schemas.openxmlformats.org/package/2006/relationships"><Relationship Id="rId1" Type="http://schemas.openxmlformats.org/officeDocument/2006/relationships/image" Target="../media/image5.png"/></Relationships>
</file>

<file path=xl/drawings/_rels/drawing4.xml.rels><?xml version="1.0" encoding="UTF-8" standalone="yes"?>
<Relationships xmlns="http://schemas.openxmlformats.org/package/2006/relationships"><Relationship Id="rId1" Type="http://schemas.openxmlformats.org/officeDocument/2006/relationships/image" Target="../media/image6.png"/></Relationships>
</file>

<file path=xl/drawings/_rels/drawing5.xml.rels><?xml version="1.0" encoding="UTF-8" standalone="yes"?>
<Relationships xmlns="http://schemas.openxmlformats.org/package/2006/relationships"><Relationship Id="rId1" Type="http://schemas.openxmlformats.org/officeDocument/2006/relationships/image" Target="../media/image6.png"/></Relationships>
</file>

<file path=xl/drawings/_rels/drawing6.xml.rels><?xml version="1.0" encoding="UTF-8" standalone="yes"?>
<Relationships xmlns="http://schemas.openxmlformats.org/package/2006/relationships"><Relationship Id="rId1" Type="http://schemas.openxmlformats.org/officeDocument/2006/relationships/image" Target="../media/image6.png"/></Relationships>
</file>

<file path=xl/drawings/drawing1.xml><?xml version="1.0" encoding="utf-8"?>
<xdr:wsDr xmlns:xdr="http://schemas.openxmlformats.org/drawingml/2006/spreadsheetDrawing" xmlns:a="http://schemas.openxmlformats.org/drawingml/2006/main">
  <xdr:twoCellAnchor editAs="oneCell">
    <xdr:from>
      <xdr:col>7</xdr:col>
      <xdr:colOff>0</xdr:colOff>
      <xdr:row>4</xdr:row>
      <xdr:rowOff>0</xdr:rowOff>
    </xdr:from>
    <xdr:to>
      <xdr:col>8</xdr:col>
      <xdr:colOff>219075</xdr:colOff>
      <xdr:row>4</xdr:row>
      <xdr:rowOff>219075</xdr:rowOff>
    </xdr:to>
    <xdr:pic>
      <xdr:nvPicPr>
        <xdr:cNvPr id="2" name="cmdCreatePrintedForm" descr="Создание печатной формы"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4</xdr:col>
      <xdr:colOff>0</xdr:colOff>
      <xdr:row>30</xdr:row>
      <xdr:rowOff>0</xdr:rowOff>
    </xdr:from>
    <xdr:to>
      <xdr:col>4</xdr:col>
      <xdr:colOff>288036</xdr:colOff>
      <xdr:row>31</xdr:row>
      <xdr:rowOff>0</xdr:rowOff>
    </xdr:to>
    <xdr:pic>
      <xdr:nvPicPr>
        <xdr:cNvPr id="3" name="UPDATE_PLAN1X_DATA" descr="update_org.png" hidden="1"/>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0" cy="0"/>
        </a:xfrm>
        <a:prstGeom prst="rect">
          <a:avLst/>
        </a:prstGeom>
        <a:ln>
          <a:noFill/>
          <a:prstDash val="solid"/>
        </a:ln>
      </xdr:spPr>
    </xdr:pic>
    <xdr:clientData/>
  </xdr:twoCellAnchor>
  <xdr:twoCellAnchor editAs="oneCell">
    <xdr:from>
      <xdr:col>3</xdr:col>
      <xdr:colOff>104775</xdr:colOff>
      <xdr:row>65</xdr:row>
      <xdr:rowOff>76200</xdr:rowOff>
    </xdr:from>
    <xdr:to>
      <xdr:col>4</xdr:col>
      <xdr:colOff>312325</xdr:colOff>
      <xdr:row>65</xdr:row>
      <xdr:rowOff>400241</xdr:rowOff>
    </xdr:to>
    <xdr:pic>
      <xdr:nvPicPr>
        <xdr:cNvPr id="4" name="PHONE_PIC" descr="update_org.png" hidden="1"/>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0" y="0"/>
          <a:ext cx="0" cy="0"/>
        </a:xfrm>
        <a:prstGeom prst="rect">
          <a:avLst/>
        </a:prstGeom>
        <a:ln>
          <a:noFill/>
          <a:prstDash val="soli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6</xdr:col>
      <xdr:colOff>0</xdr:colOff>
      <xdr:row>8</xdr:row>
      <xdr:rowOff>0</xdr:rowOff>
    </xdr:from>
    <xdr:to>
      <xdr:col>6</xdr:col>
      <xdr:colOff>219075</xdr:colOff>
      <xdr:row>8</xdr:row>
      <xdr:rowOff>219075</xdr:rowOff>
    </xdr:to>
    <xdr:pic>
      <xdr:nvPicPr>
        <xdr:cNvPr id="2" name="ExcludeHelp_2" descr="Справка по листу"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xdr:from>
      <xdr:col>4</xdr:col>
      <xdr:colOff>114300</xdr:colOff>
      <xdr:row>5</xdr:row>
      <xdr:rowOff>0</xdr:rowOff>
    </xdr:from>
    <xdr:to>
      <xdr:col>6</xdr:col>
      <xdr:colOff>18764</xdr:colOff>
      <xdr:row>6</xdr:row>
      <xdr:rowOff>0</xdr:rowOff>
    </xdr:to>
    <xdr:pic>
      <xdr:nvPicPr>
        <xdr:cNvPr id="3" name="Рисунок 1" hidden="1"/>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3</xdr:col>
      <xdr:colOff>73533</xdr:colOff>
      <xdr:row>6</xdr:row>
      <xdr:rowOff>0</xdr:rowOff>
    </xdr:from>
    <xdr:to>
      <xdr:col>4</xdr:col>
      <xdr:colOff>155734</xdr:colOff>
      <xdr:row>6</xdr:row>
      <xdr:rowOff>0</xdr:rowOff>
    </xdr:to>
    <xdr:pic>
      <xdr:nvPicPr>
        <xdr:cNvPr id="2" name="Рисунок 8"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4.xml><?xml version="1.0" encoding="utf-8"?>
<xdr:wsDr xmlns:xdr="http://schemas.openxmlformats.org/drawingml/2006/spreadsheetDrawing" xmlns:a="http://schemas.openxmlformats.org/drawingml/2006/main">
  <xdr:twoCellAnchor>
    <xdr:from>
      <xdr:col>0</xdr:col>
      <xdr:colOff>0</xdr:colOff>
      <xdr:row>13</xdr:row>
      <xdr:rowOff>0</xdr:rowOff>
    </xdr:from>
    <xdr:to>
      <xdr:col>3</xdr:col>
      <xdr:colOff>0</xdr:colOff>
      <xdr:row>13</xdr:row>
      <xdr:rowOff>247650</xdr:rowOff>
    </xdr:to>
    <xdr:pic>
      <xdr:nvPicPr>
        <xdr:cNvPr id="2"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5.xml><?xml version="1.0" encoding="utf-8"?>
<xdr:wsDr xmlns:xdr="http://schemas.openxmlformats.org/drawingml/2006/spreadsheetDrawing" xmlns:a="http://schemas.openxmlformats.org/drawingml/2006/main">
  <xdr:twoCellAnchor>
    <xdr:from>
      <xdr:col>0</xdr:col>
      <xdr:colOff>0</xdr:colOff>
      <xdr:row>4</xdr:row>
      <xdr:rowOff>0</xdr:rowOff>
    </xdr:from>
    <xdr:to>
      <xdr:col>3</xdr:col>
      <xdr:colOff>0</xdr:colOff>
      <xdr:row>4</xdr:row>
      <xdr:rowOff>247650</xdr:rowOff>
    </xdr:to>
    <xdr:pic>
      <xdr:nvPicPr>
        <xdr:cNvPr id="2"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6.xml><?xml version="1.0" encoding="utf-8"?>
<xdr:wsDr xmlns:xdr="http://schemas.openxmlformats.org/drawingml/2006/spreadsheetDrawing" xmlns:a="http://schemas.openxmlformats.org/drawingml/2006/main">
  <xdr:twoCellAnchor>
    <xdr:from>
      <xdr:col>0</xdr:col>
      <xdr:colOff>0</xdr:colOff>
      <xdr:row>7</xdr:row>
      <xdr:rowOff>0</xdr:rowOff>
    </xdr:from>
    <xdr:to>
      <xdr:col>3</xdr:col>
      <xdr:colOff>0</xdr:colOff>
      <xdr:row>7</xdr:row>
      <xdr:rowOff>247650</xdr:rowOff>
    </xdr:to>
    <xdr:pic>
      <xdr:nvPicPr>
        <xdr:cNvPr id="2"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Тема 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hyperlink" Target="mailto:kan.nastia@mail.ru" TargetMode="External"/><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21.xml.rels><?xml version="1.0" encoding="UTF-8" standalone="yes"?>
<Relationships xmlns="http://schemas.openxmlformats.org/package/2006/relationships"><Relationship Id="rId2" Type="http://schemas.openxmlformats.org/officeDocument/2006/relationships/comments" Target="../comments2.xml"/><Relationship Id="rId1" Type="http://schemas.openxmlformats.org/officeDocument/2006/relationships/vmlDrawing" Target="../drawings/vmlDrawing2.vml"/></Relationships>
</file>

<file path=xl/worksheets/_rels/sheet23.xml.rels><?xml version="1.0" encoding="UTF-8" standalone="yes"?>
<Relationships xmlns="http://schemas.openxmlformats.org/package/2006/relationships"><Relationship Id="rId2" Type="http://schemas.openxmlformats.org/officeDocument/2006/relationships/comments" Target="../comments3.xml"/><Relationship Id="rId1" Type="http://schemas.openxmlformats.org/officeDocument/2006/relationships/vmlDrawing" Target="../drawings/vmlDrawing3.vml"/></Relationships>
</file>

<file path=xl/worksheets/_rels/sheet28.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29.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34.xml.rels><?xml version="1.0" encoding="UTF-8" standalone="yes"?>
<Relationships xmlns="http://schemas.openxmlformats.org/package/2006/relationships"><Relationship Id="rId1" Type="http://schemas.openxmlformats.org/officeDocument/2006/relationships/drawing" Target="../drawings/drawing6.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21"/>
  <sheetViews>
    <sheetView showGridLines="0" showRowColHeaders="0" workbookViewId="0"/>
  </sheetViews>
  <sheetFormatPr defaultColWidth="11" defaultRowHeight="12.75" customHeight="1"/>
  <cols>
    <col min="1" max="1" width="5.42578125" style="1620" customWidth="1"/>
    <col min="2" max="2" width="9.140625" style="1620" customWidth="1"/>
    <col min="3" max="3" width="16.42578125" style="1620" customWidth="1"/>
    <col min="4" max="25" width="6.28515625" style="1620" customWidth="1"/>
    <col min="26" max="28" width="11" style="1620"/>
  </cols>
  <sheetData>
    <row r="1" spans="1:28" ht="15.75" customHeight="1">
      <c r="A1" s="1616"/>
      <c r="B1" s="1617"/>
      <c r="C1" s="1617"/>
      <c r="D1" s="1617"/>
      <c r="E1" s="1617"/>
      <c r="F1" s="1617"/>
      <c r="G1" s="1617"/>
      <c r="H1" s="1617"/>
      <c r="I1" s="1617"/>
      <c r="J1" s="1617"/>
      <c r="K1" s="1617"/>
      <c r="L1" s="1617"/>
      <c r="M1" s="1617"/>
      <c r="N1" s="1617"/>
      <c r="O1" s="1617"/>
      <c r="P1" s="1617"/>
      <c r="Q1" s="1617"/>
      <c r="R1" s="1617"/>
      <c r="S1" s="1617"/>
      <c r="T1" s="1617"/>
      <c r="U1" s="1617"/>
      <c r="V1" s="1617"/>
      <c r="W1" s="1617"/>
      <c r="X1" s="1617"/>
      <c r="Y1" s="1618"/>
      <c r="Z1" s="1617"/>
      <c r="AA1" s="1619" t="s">
        <v>0</v>
      </c>
      <c r="AB1" s="1617"/>
    </row>
    <row r="2" spans="1:28" ht="17.25" customHeight="1">
      <c r="A2" s="1617"/>
      <c r="B2" s="1847" t="s">
        <v>1</v>
      </c>
      <c r="C2" s="1847"/>
      <c r="D2" s="1847"/>
      <c r="E2" s="1847"/>
      <c r="F2" s="1847"/>
      <c r="G2" s="1847"/>
      <c r="H2" s="1847"/>
      <c r="I2" s="1847"/>
      <c r="J2" s="1847"/>
      <c r="K2" s="1847"/>
      <c r="L2" s="1847"/>
      <c r="M2" s="1847"/>
      <c r="N2" s="1847"/>
      <c r="O2" s="1847"/>
      <c r="P2" s="1847"/>
      <c r="Q2" s="1621"/>
      <c r="R2" s="1621"/>
      <c r="S2" s="1621"/>
      <c r="T2" s="1621"/>
      <c r="U2" s="1621"/>
      <c r="V2" s="1622"/>
      <c r="W2" s="1621"/>
      <c r="X2" s="1621"/>
      <c r="Y2" s="1618"/>
      <c r="Z2" s="1617"/>
      <c r="AA2" s="1619"/>
      <c r="AB2" s="1617"/>
    </row>
    <row r="3" spans="1:28" ht="15.75" customHeight="1">
      <c r="A3" s="1617"/>
      <c r="B3" s="1848" t="s">
        <v>2</v>
      </c>
      <c r="C3" s="1848"/>
      <c r="D3" s="1848"/>
      <c r="E3" s="1848"/>
      <c r="F3" s="1848"/>
      <c r="G3" s="1848"/>
      <c r="H3" s="1848"/>
      <c r="I3" s="1848"/>
      <c r="J3" s="1848"/>
      <c r="K3" s="1848"/>
      <c r="L3" s="1848"/>
      <c r="M3" s="1848"/>
      <c r="N3" s="1848"/>
      <c r="O3" s="1848"/>
      <c r="P3" s="1848"/>
      <c r="Q3" s="1622"/>
      <c r="R3" s="1622"/>
      <c r="S3" s="1621"/>
      <c r="T3" s="1621"/>
      <c r="U3" s="1621"/>
      <c r="V3" s="1622"/>
      <c r="W3" s="1622"/>
      <c r="X3" s="1622"/>
      <c r="Y3" s="1622"/>
      <c r="Z3" s="1617"/>
      <c r="AA3" s="1619"/>
      <c r="AB3" s="1617"/>
    </row>
    <row r="4" spans="1:28" ht="17.25" customHeight="1">
      <c r="A4" s="1617"/>
      <c r="B4" s="1623"/>
      <c r="C4" s="1617"/>
      <c r="D4" s="1622"/>
      <c r="E4" s="1622"/>
      <c r="F4" s="1622"/>
      <c r="G4" s="1622"/>
      <c r="H4" s="1622"/>
      <c r="I4" s="1622"/>
      <c r="J4" s="1622"/>
      <c r="K4" s="1622"/>
      <c r="L4" s="1622"/>
      <c r="M4" s="1622"/>
      <c r="N4" s="1622"/>
      <c r="O4" s="1622"/>
      <c r="P4" s="1622"/>
      <c r="Q4" s="1622"/>
      <c r="R4" s="1622"/>
      <c r="S4" s="1622"/>
      <c r="T4" s="1622"/>
      <c r="U4" s="1622"/>
      <c r="V4" s="1622"/>
      <c r="W4" s="1622"/>
      <c r="X4" s="1622"/>
      <c r="Y4" s="1622"/>
      <c r="Z4" s="1617"/>
      <c r="AA4" s="1619"/>
      <c r="AB4" s="1617"/>
    </row>
    <row r="5" spans="1:28" ht="22.5" customHeight="1">
      <c r="A5" s="1624"/>
      <c r="B5" s="1849" t="str">
        <f>IF(TEMPLATE_SPHERE="","Информация, подлежащая раскрытию регулируемыми организациями",Титульный!E5)</f>
        <v>Информация о наличии (отсутствии) технической возможности подключения к централизованной системе холодного водоснабжения, а также о регистрации и ходе реализации заявок о подключении к централизованной системе холодного водоснабжения</v>
      </c>
      <c r="C5" s="1850"/>
      <c r="D5" s="1850"/>
      <c r="E5" s="1850"/>
      <c r="F5" s="1850"/>
      <c r="G5" s="1850"/>
      <c r="H5" s="1850"/>
      <c r="I5" s="1850"/>
      <c r="J5" s="1850"/>
      <c r="K5" s="1850"/>
      <c r="L5" s="1850"/>
      <c r="M5" s="1850"/>
      <c r="N5" s="1850"/>
      <c r="O5" s="1850"/>
      <c r="P5" s="1850"/>
      <c r="Q5" s="1850"/>
      <c r="R5" s="1850"/>
      <c r="S5" s="1850"/>
      <c r="T5" s="1850"/>
      <c r="U5" s="1850"/>
      <c r="V5" s="1850"/>
      <c r="W5" s="1850"/>
      <c r="X5" s="1850"/>
      <c r="Y5" s="1851"/>
      <c r="Z5" s="1624"/>
      <c r="AA5" s="1619"/>
      <c r="AB5" s="1624"/>
    </row>
    <row r="6" spans="1:28" ht="15" customHeight="1">
      <c r="A6" s="1625"/>
      <c r="B6" s="1839" t="s">
        <v>3</v>
      </c>
      <c r="C6" s="1842"/>
      <c r="D6" s="1626"/>
      <c r="E6" s="1626"/>
      <c r="F6" s="1626"/>
      <c r="G6" s="1626"/>
      <c r="H6" s="1626"/>
      <c r="I6" s="1626"/>
      <c r="J6" s="1626"/>
      <c r="K6" s="1626"/>
      <c r="L6" s="1626"/>
      <c r="M6" s="1626"/>
      <c r="N6" s="1626"/>
      <c r="O6" s="1626"/>
      <c r="P6" s="1626"/>
      <c r="Q6" s="1626"/>
      <c r="R6" s="1626"/>
      <c r="S6" s="1626"/>
      <c r="T6" s="1626"/>
      <c r="U6" s="1626"/>
      <c r="V6" s="1626"/>
      <c r="W6" s="1626"/>
      <c r="X6" s="1626"/>
      <c r="Y6" s="1627"/>
      <c r="Z6" s="1628"/>
      <c r="AA6" s="1629"/>
      <c r="AB6" s="1629"/>
    </row>
    <row r="7" spans="1:28" ht="15" customHeight="1">
      <c r="A7" s="1625"/>
      <c r="B7" s="1839"/>
      <c r="C7" s="1842"/>
      <c r="D7" s="1626"/>
      <c r="E7" s="1626"/>
      <c r="F7" s="1630"/>
      <c r="G7" s="1630"/>
      <c r="H7" s="1630"/>
      <c r="I7" s="1630"/>
      <c r="J7" s="1630"/>
      <c r="K7" s="1630"/>
      <c r="L7" s="1630"/>
      <c r="M7" s="1630"/>
      <c r="N7" s="1630"/>
      <c r="O7" s="1626"/>
      <c r="P7" s="1630"/>
      <c r="Q7" s="1630"/>
      <c r="R7" s="1630"/>
      <c r="S7" s="1630"/>
      <c r="T7" s="1630"/>
      <c r="U7" s="1630"/>
      <c r="V7" s="1630"/>
      <c r="W7" s="1630"/>
      <c r="X7" s="1630"/>
      <c r="Y7" s="1627"/>
      <c r="Z7" s="1628"/>
      <c r="AA7" s="1629"/>
      <c r="AB7" s="1629"/>
    </row>
    <row r="8" spans="1:28" ht="15" customHeight="1">
      <c r="A8" s="1625"/>
      <c r="B8" s="1839"/>
      <c r="C8" s="1842"/>
      <c r="D8" s="1631"/>
      <c r="E8" s="1632" t="s">
        <v>4</v>
      </c>
      <c r="F8" s="1852" t="s">
        <v>5</v>
      </c>
      <c r="G8" s="1841"/>
      <c r="H8" s="1841"/>
      <c r="I8" s="1841"/>
      <c r="J8" s="1841"/>
      <c r="K8" s="1841"/>
      <c r="L8" s="1841"/>
      <c r="M8" s="1841"/>
      <c r="N8" s="1631"/>
      <c r="O8" s="1633" t="s">
        <v>4</v>
      </c>
      <c r="P8" s="1853" t="s">
        <v>6</v>
      </c>
      <c r="Q8" s="1854"/>
      <c r="R8" s="1854"/>
      <c r="S8" s="1854"/>
      <c r="T8" s="1854"/>
      <c r="U8" s="1854"/>
      <c r="V8" s="1854"/>
      <c r="W8" s="1854"/>
      <c r="X8" s="1854"/>
      <c r="Y8" s="1627"/>
      <c r="Z8" s="1628"/>
      <c r="AA8" s="1629"/>
      <c r="AB8" s="1629"/>
    </row>
    <row r="9" spans="1:28" ht="15" customHeight="1">
      <c r="A9" s="1625"/>
      <c r="B9" s="1839"/>
      <c r="C9" s="1842"/>
      <c r="D9" s="1631"/>
      <c r="E9" s="1634" t="s">
        <v>4</v>
      </c>
      <c r="F9" s="1852" t="s">
        <v>7</v>
      </c>
      <c r="G9" s="1841"/>
      <c r="H9" s="1841"/>
      <c r="I9" s="1841"/>
      <c r="J9" s="1841"/>
      <c r="K9" s="1841"/>
      <c r="L9" s="1841"/>
      <c r="M9" s="1841"/>
      <c r="N9" s="1631"/>
      <c r="O9" s="1635" t="s">
        <v>4</v>
      </c>
      <c r="P9" s="1853" t="s">
        <v>8</v>
      </c>
      <c r="Q9" s="1854"/>
      <c r="R9" s="1854"/>
      <c r="S9" s="1854"/>
      <c r="T9" s="1854"/>
      <c r="U9" s="1854"/>
      <c r="V9" s="1854"/>
      <c r="W9" s="1854"/>
      <c r="X9" s="1854"/>
      <c r="Y9" s="1627"/>
      <c r="Z9" s="1628"/>
      <c r="AA9" s="1629"/>
      <c r="AB9" s="1629"/>
    </row>
    <row r="10" spans="1:28" ht="30" customHeight="1">
      <c r="A10" s="1625"/>
      <c r="B10" s="1839"/>
      <c r="C10" s="1840"/>
      <c r="D10" s="1636"/>
      <c r="E10" s="1637"/>
      <c r="F10" s="1630"/>
      <c r="G10" s="1630"/>
      <c r="H10" s="1630"/>
      <c r="I10" s="1630"/>
      <c r="J10" s="1630"/>
      <c r="K10" s="1630"/>
      <c r="L10" s="1630"/>
      <c r="M10" s="1630"/>
      <c r="N10" s="1630"/>
      <c r="O10" s="1637"/>
      <c r="P10" s="1630"/>
      <c r="Q10" s="1630"/>
      <c r="R10" s="1630"/>
      <c r="S10" s="1630"/>
      <c r="T10" s="1630"/>
      <c r="U10" s="1630"/>
      <c r="V10" s="1630"/>
      <c r="W10" s="1630"/>
      <c r="X10" s="1630"/>
      <c r="Y10" s="1627"/>
      <c r="Z10" s="1628"/>
      <c r="AA10" s="1629"/>
      <c r="AB10" s="1629"/>
    </row>
    <row r="11" spans="1:28" ht="19.5" customHeight="1">
      <c r="A11" s="1625"/>
      <c r="B11" s="1837" t="s">
        <v>9</v>
      </c>
      <c r="C11" s="1838"/>
      <c r="D11" s="1631"/>
      <c r="E11" s="1638"/>
      <c r="F11" s="1638"/>
      <c r="G11" s="1638"/>
      <c r="H11" s="1638"/>
      <c r="I11" s="1638"/>
      <c r="J11" s="1638"/>
      <c r="K11" s="1638"/>
      <c r="L11" s="1638"/>
      <c r="M11" s="1638"/>
      <c r="N11" s="1638"/>
      <c r="O11" s="1638"/>
      <c r="P11" s="1638"/>
      <c r="Q11" s="1638"/>
      <c r="R11" s="1638"/>
      <c r="S11" s="1638"/>
      <c r="T11" s="1638"/>
      <c r="U11" s="1638"/>
      <c r="V11" s="1638"/>
      <c r="W11" s="1638"/>
      <c r="X11" s="1638"/>
      <c r="Y11" s="1627"/>
      <c r="Z11" s="1628"/>
      <c r="AA11" s="1629"/>
      <c r="AB11" s="1629"/>
    </row>
    <row r="12" spans="1:28" ht="69" customHeight="1">
      <c r="A12" s="1625"/>
      <c r="B12" s="1839"/>
      <c r="C12" s="1840"/>
      <c r="D12" s="1639"/>
      <c r="E12" s="1841" t="s">
        <v>10</v>
      </c>
      <c r="F12" s="1841"/>
      <c r="G12" s="1841"/>
      <c r="H12" s="1841"/>
      <c r="I12" s="1841"/>
      <c r="J12" s="1841"/>
      <c r="K12" s="1841"/>
      <c r="L12" s="1841"/>
      <c r="M12" s="1841"/>
      <c r="N12" s="1841"/>
      <c r="O12" s="1841"/>
      <c r="P12" s="1841"/>
      <c r="Q12" s="1841"/>
      <c r="R12" s="1841"/>
      <c r="S12" s="1841"/>
      <c r="T12" s="1841"/>
      <c r="U12" s="1841"/>
      <c r="V12" s="1841"/>
      <c r="W12" s="1841"/>
      <c r="X12" s="1841"/>
      <c r="Y12" s="1627"/>
      <c r="Z12" s="1628"/>
      <c r="AA12" s="1629"/>
      <c r="AB12" s="1629"/>
    </row>
    <row r="13" spans="1:28" ht="15" customHeight="1">
      <c r="A13" s="1625"/>
      <c r="B13" s="1837" t="s">
        <v>11</v>
      </c>
      <c r="C13" s="1838"/>
      <c r="D13" s="1626"/>
      <c r="E13" s="1638"/>
      <c r="F13" s="1638"/>
      <c r="G13" s="1638"/>
      <c r="H13" s="1638"/>
      <c r="I13" s="1638"/>
      <c r="J13" s="1638"/>
      <c r="K13" s="1638"/>
      <c r="L13" s="1638"/>
      <c r="M13" s="1638"/>
      <c r="N13" s="1638"/>
      <c r="O13" s="1638"/>
      <c r="P13" s="1638"/>
      <c r="Q13" s="1638"/>
      <c r="R13" s="1638"/>
      <c r="S13" s="1638"/>
      <c r="T13" s="1638"/>
      <c r="U13" s="1638"/>
      <c r="V13" s="1638"/>
      <c r="W13" s="1638"/>
      <c r="X13" s="1638"/>
      <c r="Y13" s="1627"/>
      <c r="Z13" s="1628"/>
      <c r="AA13" s="1629"/>
      <c r="AB13" s="1629"/>
    </row>
    <row r="14" spans="1:28" ht="57" customHeight="1">
      <c r="A14" s="1625"/>
      <c r="B14" s="1839"/>
      <c r="C14" s="1842"/>
      <c r="D14" s="1631"/>
      <c r="E14" s="1845" t="s">
        <v>12</v>
      </c>
      <c r="F14" s="1845"/>
      <c r="G14" s="1845"/>
      <c r="H14" s="1845"/>
      <c r="I14" s="1845"/>
      <c r="J14" s="1845"/>
      <c r="K14" s="1845"/>
      <c r="L14" s="1845"/>
      <c r="M14" s="1845"/>
      <c r="N14" s="1845"/>
      <c r="O14" s="1845"/>
      <c r="P14" s="1845"/>
      <c r="Q14" s="1845"/>
      <c r="R14" s="1845"/>
      <c r="S14" s="1845"/>
      <c r="T14" s="1845"/>
      <c r="U14" s="1845"/>
      <c r="V14" s="1845"/>
      <c r="W14" s="1845"/>
      <c r="X14" s="1845"/>
      <c r="Y14" s="1627"/>
      <c r="Z14" s="1628"/>
      <c r="AA14" s="1629"/>
      <c r="AB14" s="1629"/>
    </row>
    <row r="15" spans="1:28" ht="16.5" customHeight="1">
      <c r="A15" s="1625"/>
      <c r="B15" s="1843"/>
      <c r="C15" s="1844"/>
      <c r="D15" s="1640"/>
      <c r="E15" s="1641"/>
      <c r="F15" s="1641"/>
      <c r="G15" s="1641"/>
      <c r="H15" s="1641"/>
      <c r="I15" s="1641"/>
      <c r="J15" s="1641"/>
      <c r="K15" s="1641"/>
      <c r="L15" s="1641"/>
      <c r="M15" s="1641"/>
      <c r="N15" s="1641"/>
      <c r="O15" s="1641"/>
      <c r="P15" s="1641"/>
      <c r="Q15" s="1641"/>
      <c r="R15" s="1641"/>
      <c r="S15" s="1641"/>
      <c r="T15" s="1641"/>
      <c r="U15" s="1641"/>
      <c r="V15" s="1641"/>
      <c r="W15" s="1641"/>
      <c r="X15" s="1641"/>
      <c r="Y15" s="1642"/>
      <c r="Z15" s="1628"/>
      <c r="AA15" s="1643"/>
      <c r="AB15" s="1629"/>
    </row>
    <row r="16" spans="1:28" ht="95.25" customHeight="1">
      <c r="A16" s="1617"/>
      <c r="B16" s="1845"/>
      <c r="C16" s="1846"/>
      <c r="D16" s="1846"/>
      <c r="E16" s="1846"/>
      <c r="F16" s="1846"/>
      <c r="G16" s="1846"/>
      <c r="H16" s="1846"/>
      <c r="I16" s="1846"/>
      <c r="J16" s="1846"/>
      <c r="K16" s="1846"/>
      <c r="L16" s="1846"/>
      <c r="M16" s="1846"/>
      <c r="N16" s="1846"/>
      <c r="O16" s="1846"/>
      <c r="P16" s="1846"/>
      <c r="Q16" s="1846"/>
      <c r="R16" s="1846"/>
      <c r="S16" s="1846"/>
      <c r="T16" s="1846"/>
      <c r="U16" s="1846"/>
      <c r="V16" s="1846"/>
      <c r="W16" s="1846"/>
      <c r="X16" s="1846"/>
      <c r="Y16" s="1846"/>
      <c r="Z16" s="1617"/>
      <c r="AA16" s="1619"/>
      <c r="AB16" s="1617"/>
    </row>
    <row r="17" spans="1:28" ht="14.25" customHeight="1">
      <c r="A17" s="1617"/>
      <c r="B17" s="1617"/>
      <c r="C17" s="1617"/>
      <c r="D17" s="1617"/>
      <c r="E17" s="1617"/>
      <c r="F17" s="1617"/>
      <c r="G17" s="1617"/>
      <c r="H17" s="1617"/>
      <c r="I17" s="1617"/>
      <c r="J17" s="1617"/>
      <c r="K17" s="1617"/>
      <c r="L17" s="1617"/>
      <c r="M17" s="1617"/>
      <c r="N17" s="1617"/>
      <c r="O17" s="1617"/>
      <c r="P17" s="1617"/>
      <c r="Q17" s="1617"/>
      <c r="R17" s="1617"/>
      <c r="S17" s="1617"/>
      <c r="T17" s="1617"/>
      <c r="U17" s="1617"/>
      <c r="V17" s="1617"/>
      <c r="W17" s="1617"/>
      <c r="X17" s="1617"/>
      <c r="Y17" s="1618"/>
      <c r="Z17" s="1617"/>
      <c r="AA17" s="1619"/>
      <c r="AB17" s="1617"/>
    </row>
    <row r="18" spans="1:28" ht="14.25" customHeight="1">
      <c r="A18" s="1617"/>
      <c r="B18" s="1617"/>
      <c r="C18" s="1617"/>
      <c r="D18" s="1617"/>
      <c r="E18" s="1617"/>
      <c r="F18" s="1617"/>
      <c r="G18" s="1617"/>
      <c r="H18" s="1617"/>
      <c r="I18" s="1617"/>
      <c r="J18" s="1617"/>
      <c r="K18" s="1617"/>
      <c r="L18" s="1617"/>
      <c r="M18" s="1617"/>
      <c r="N18" s="1617"/>
      <c r="O18" s="1617"/>
      <c r="P18" s="1617"/>
      <c r="Q18" s="1617"/>
      <c r="R18" s="1617"/>
      <c r="S18" s="1617"/>
      <c r="T18" s="1617"/>
      <c r="U18" s="1617"/>
      <c r="V18" s="1617"/>
      <c r="W18" s="1617"/>
      <c r="X18" s="1617"/>
      <c r="Y18" s="1618"/>
      <c r="Z18" s="1617"/>
      <c r="AA18" s="1619"/>
      <c r="AB18" s="1617"/>
    </row>
    <row r="19" spans="1:28" ht="14.25" customHeight="1">
      <c r="A19" s="1617"/>
      <c r="B19" s="1617"/>
      <c r="C19" s="1617"/>
      <c r="D19" s="1617"/>
      <c r="E19" s="1617"/>
      <c r="F19" s="1617"/>
      <c r="G19" s="1617"/>
      <c r="H19" s="1617"/>
      <c r="I19" s="1617"/>
      <c r="J19" s="1617"/>
      <c r="K19" s="1617"/>
      <c r="L19" s="1617"/>
      <c r="M19" s="1617"/>
      <c r="N19" s="1617"/>
      <c r="O19" s="1617"/>
      <c r="P19" s="1617"/>
      <c r="Q19" s="1617"/>
      <c r="R19" s="1617"/>
      <c r="S19" s="1617"/>
      <c r="T19" s="1617"/>
      <c r="U19" s="1617"/>
      <c r="V19" s="1617"/>
      <c r="W19" s="1617"/>
      <c r="X19" s="1617"/>
      <c r="Y19" s="1618"/>
      <c r="Z19" s="1617"/>
      <c r="AA19" s="1619"/>
      <c r="AB19" s="1617"/>
    </row>
    <row r="20" spans="1:28" ht="14.25" customHeight="1">
      <c r="A20" s="1617"/>
      <c r="B20" s="1617"/>
      <c r="C20" s="1617"/>
      <c r="D20" s="1617"/>
      <c r="E20" s="1617"/>
      <c r="F20" s="1617"/>
      <c r="G20" s="1617"/>
      <c r="H20" s="1617"/>
      <c r="I20" s="1617"/>
      <c r="J20" s="1617"/>
      <c r="K20" s="1617"/>
      <c r="L20" s="1617"/>
      <c r="M20" s="1617"/>
      <c r="N20" s="1617"/>
      <c r="O20" s="1617"/>
      <c r="P20" s="1617"/>
      <c r="Q20" s="1617"/>
      <c r="R20" s="1617"/>
      <c r="S20" s="1617"/>
      <c r="T20" s="1617"/>
      <c r="U20" s="1617"/>
      <c r="V20" s="1617"/>
      <c r="W20" s="1617"/>
      <c r="X20" s="1617"/>
      <c r="Y20" s="1618"/>
      <c r="Z20" s="1617"/>
      <c r="AA20" s="1619"/>
      <c r="AB20" s="1617"/>
    </row>
    <row r="21" spans="1:28" ht="14.25" customHeight="1">
      <c r="A21" s="1617"/>
      <c r="B21" s="1617"/>
      <c r="C21" s="1617"/>
      <c r="D21" s="1617"/>
      <c r="E21" s="1617"/>
      <c r="F21" s="1617"/>
      <c r="G21" s="1617"/>
      <c r="H21" s="1617"/>
      <c r="I21" s="1617"/>
      <c r="J21" s="1617"/>
      <c r="K21" s="1617"/>
      <c r="L21" s="1617"/>
      <c r="M21" s="1617"/>
      <c r="N21" s="1617"/>
      <c r="O21" s="1617"/>
      <c r="P21" s="1617"/>
      <c r="Q21" s="1617"/>
      <c r="R21" s="1617"/>
      <c r="S21" s="1617"/>
      <c r="T21" s="1617"/>
      <c r="U21" s="1617"/>
      <c r="V21" s="1617"/>
      <c r="W21" s="1617"/>
      <c r="X21" s="1617"/>
      <c r="Y21" s="1618"/>
      <c r="Z21" s="1617"/>
      <c r="AA21" s="1619"/>
      <c r="AB21" s="1617"/>
    </row>
  </sheetData>
  <sheetProtection formatColumns="0" formatRows="0" insertRows="0" deleteColumns="0" deleteRows="0" sort="0" autoFilter="0"/>
  <mergeCells count="13">
    <mergeCell ref="B2:P2"/>
    <mergeCell ref="B3:P3"/>
    <mergeCell ref="B5:Y5"/>
    <mergeCell ref="B6:C10"/>
    <mergeCell ref="F8:M8"/>
    <mergeCell ref="P8:X8"/>
    <mergeCell ref="F9:M9"/>
    <mergeCell ref="P9:X9"/>
    <mergeCell ref="B11:C12"/>
    <mergeCell ref="E12:X12"/>
    <mergeCell ref="B13:C15"/>
    <mergeCell ref="E14:X14"/>
    <mergeCell ref="B16:Y16"/>
  </mergeCell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CCCCFF"/>
  </sheetPr>
  <dimension ref="A1:P78"/>
  <sheetViews>
    <sheetView showGridLines="0" tabSelected="1" topLeftCell="C1" zoomScale="90" workbookViewId="0">
      <selection activeCell="L35" sqref="L35"/>
    </sheetView>
  </sheetViews>
  <sheetFormatPr defaultColWidth="9.140625" defaultRowHeight="11.25" customHeight="1"/>
  <cols>
    <col min="1" max="1" width="10.7109375" style="700" hidden="1" customWidth="1"/>
    <col min="2" max="2" width="10.7109375" style="648" hidden="1" customWidth="1"/>
    <col min="3" max="3" width="3.7109375" style="456" customWidth="1"/>
    <col min="4" max="4" width="1.7109375" style="1552" customWidth="1"/>
    <col min="5" max="5" width="55.28515625" style="1552" customWidth="1"/>
    <col min="6" max="6" width="50.7109375" style="1552" customWidth="1"/>
    <col min="7" max="7" width="1.7109375" style="1787" customWidth="1"/>
    <col min="8" max="8" width="18" style="1552" hidden="1" customWidth="1"/>
    <col min="9" max="9" width="9.5703125" style="457" customWidth="1"/>
    <col min="10" max="10" width="52.140625" style="1284" hidden="1" customWidth="1"/>
    <col min="11" max="11" width="9.140625" style="1552"/>
    <col min="12" max="12" width="78" style="1552" customWidth="1"/>
    <col min="13" max="16" width="9.140625" style="1552"/>
  </cols>
  <sheetData>
    <row r="1" spans="1:11" s="539" customFormat="1" ht="3" customHeight="1">
      <c r="A1" s="696"/>
      <c r="B1" s="156"/>
      <c r="F1" s="157">
        <v>26354809</v>
      </c>
      <c r="G1" s="341"/>
      <c r="H1" s="4"/>
      <c r="I1" s="341"/>
      <c r="J1" s="784"/>
    </row>
    <row r="2" spans="1:11" s="1549" customFormat="1" ht="14.25" customHeight="1">
      <c r="A2" s="696"/>
      <c r="B2" s="27"/>
      <c r="E2" s="1656" t="str">
        <f>code</f>
        <v>Код отчёта: PP108.OPEN.INFO.QUARTER.COLDVSNA.EIAS</v>
      </c>
      <c r="F2" s="184"/>
      <c r="G2" s="160"/>
      <c r="H2" s="160"/>
      <c r="I2" s="160"/>
      <c r="J2" s="785"/>
      <c r="K2" s="160"/>
    </row>
    <row r="3" spans="1:11" ht="14.25" customHeight="1">
      <c r="E3" s="161" t="str">
        <f>version</f>
        <v>Версия отчёта: 1.0.2</v>
      </c>
      <c r="F3" s="184"/>
      <c r="G3" s="1807"/>
      <c r="H3"/>
      <c r="I3"/>
      <c r="J3" s="786"/>
      <c r="K3"/>
    </row>
    <row r="4" spans="1:11" s="1530" customFormat="1" ht="6" customHeight="1">
      <c r="A4" s="697"/>
      <c r="B4" s="148"/>
      <c r="C4" s="149"/>
      <c r="D4" s="150"/>
      <c r="E4" s="158"/>
      <c r="F4" s="159"/>
      <c r="G4" s="684"/>
      <c r="H4" s="339"/>
      <c r="I4" s="341"/>
      <c r="J4" s="787"/>
    </row>
    <row r="5" spans="1:11" ht="37.5" customHeight="1">
      <c r="D5" s="6"/>
      <c r="E5" s="1855" t="str">
        <f>NameTemplatesInTitle</f>
        <v>Информация о наличии (отсутствии) технической возможности подключения к централизованной системе холодного водоснабжения, а также о регистрации и ходе реализации заявок о подключении к централизованной системе холодного водоснабжения</v>
      </c>
      <c r="F5" s="1856"/>
      <c r="G5" s="685"/>
      <c r="J5" s="788"/>
    </row>
    <row r="6" spans="1:11" s="1530" customFormat="1" ht="6" customHeight="1">
      <c r="A6" s="697"/>
      <c r="B6" s="148"/>
      <c r="C6" s="149"/>
      <c r="D6" s="150"/>
      <c r="E6" s="152"/>
      <c r="F6" s="153"/>
      <c r="G6" s="685"/>
      <c r="H6" s="339"/>
      <c r="I6" s="341"/>
      <c r="J6" s="787"/>
    </row>
    <row r="7" spans="1:11" ht="19.5" customHeight="1">
      <c r="D7" s="6"/>
      <c r="E7" s="320" t="s">
        <v>13</v>
      </c>
      <c r="F7" s="132" t="s">
        <v>14</v>
      </c>
      <c r="G7" s="685"/>
    </row>
    <row r="8" spans="1:11" s="1530" customFormat="1" ht="6" customHeight="1">
      <c r="A8" s="698"/>
      <c r="B8" s="148"/>
      <c r="C8" s="149"/>
      <c r="D8" s="154"/>
      <c r="E8" s="152"/>
      <c r="F8" s="155"/>
      <c r="G8" s="8"/>
      <c r="H8" s="339"/>
      <c r="I8" s="341"/>
      <c r="J8" s="790"/>
    </row>
    <row r="9" spans="1:11" s="1552" customFormat="1" ht="19.5" hidden="1" customHeight="1">
      <c r="A9" s="697"/>
      <c r="B9" s="27"/>
      <c r="C9" s="338"/>
      <c r="D9" s="340"/>
      <c r="E9" s="1067" t="s">
        <v>15</v>
      </c>
      <c r="F9" s="1053"/>
      <c r="G9" s="685"/>
      <c r="I9" s="341"/>
      <c r="J9" s="789"/>
    </row>
    <row r="10" spans="1:11" s="1530" customFormat="1" ht="6" customHeight="1">
      <c r="A10" s="698"/>
      <c r="B10" s="354"/>
      <c r="C10" s="355"/>
      <c r="D10" s="154"/>
      <c r="E10" s="152"/>
      <c r="F10" s="155"/>
      <c r="G10" s="8"/>
      <c r="H10" s="339"/>
      <c r="I10" s="341"/>
      <c r="J10" s="790"/>
    </row>
    <row r="11" spans="1:11" ht="22.5" hidden="1" customHeight="1">
      <c r="A11" s="1858" t="s">
        <v>16</v>
      </c>
      <c r="D11" s="6"/>
      <c r="E11" s="1067" t="s">
        <v>17</v>
      </c>
      <c r="F11" s="1648" t="s">
        <v>18</v>
      </c>
      <c r="G11" s="8"/>
      <c r="H11" s="686" t="s">
        <v>19</v>
      </c>
      <c r="J11" s="789" t="s">
        <v>20</v>
      </c>
    </row>
    <row r="12" spans="1:11" ht="22.5" hidden="1" customHeight="1">
      <c r="A12" s="1858"/>
      <c r="D12" s="6"/>
      <c r="E12" s="1067" t="s">
        <v>21</v>
      </c>
      <c r="F12" s="1648"/>
      <c r="G12" s="5"/>
      <c r="J12" s="789" t="s">
        <v>22</v>
      </c>
    </row>
    <row r="13" spans="1:11" s="1552" customFormat="1" ht="22.5" hidden="1" customHeight="1">
      <c r="A13" s="701" t="s">
        <v>23</v>
      </c>
      <c r="B13" s="27"/>
      <c r="C13" s="338"/>
      <c r="D13" s="340"/>
      <c r="E13" s="1695" t="s">
        <v>24</v>
      </c>
      <c r="F13" s="1648" t="s">
        <v>18</v>
      </c>
      <c r="G13" s="8"/>
      <c r="H13"/>
      <c r="I13" s="341"/>
      <c r="J13" s="1696" t="s">
        <v>25</v>
      </c>
    </row>
    <row r="14" spans="1:11" s="1552" customFormat="1" ht="27" customHeight="1">
      <c r="A14" s="701" t="s">
        <v>26</v>
      </c>
      <c r="B14" s="27"/>
      <c r="C14" s="338"/>
      <c r="D14" s="340"/>
      <c r="E14" s="1067" t="s">
        <v>27</v>
      </c>
      <c r="F14" s="1684">
        <v>2024</v>
      </c>
      <c r="G14" s="8"/>
      <c r="H14"/>
      <c r="I14" s="341"/>
      <c r="J14" s="789" t="s">
        <v>28</v>
      </c>
    </row>
    <row r="15" spans="1:11" s="1552" customFormat="1" ht="19.5" customHeight="1">
      <c r="A15" s="701" t="s">
        <v>29</v>
      </c>
      <c r="B15" s="27"/>
      <c r="C15" s="338"/>
      <c r="D15" s="340"/>
      <c r="E15" s="1067" t="s">
        <v>30</v>
      </c>
      <c r="F15" s="1684" t="s">
        <v>31</v>
      </c>
      <c r="G15" s="8"/>
      <c r="H15"/>
      <c r="I15" s="341"/>
      <c r="J15" s="789" t="s">
        <v>32</v>
      </c>
    </row>
    <row r="16" spans="1:11" s="1530" customFormat="1" ht="6" customHeight="1">
      <c r="A16" s="698"/>
      <c r="B16" s="148"/>
      <c r="C16" s="149"/>
      <c r="D16" s="154"/>
      <c r="E16" s="152"/>
      <c r="F16" s="155"/>
      <c r="G16" s="8"/>
      <c r="H16" s="339"/>
      <c r="I16" s="341"/>
      <c r="J16" s="787"/>
    </row>
    <row r="17" spans="1:10" ht="19.5" customHeight="1">
      <c r="D17" s="6"/>
      <c r="E17" s="320" t="s">
        <v>33</v>
      </c>
      <c r="F17" s="133" t="s">
        <v>34</v>
      </c>
      <c r="G17" s="5"/>
      <c r="H17" s="686" t="s">
        <v>19</v>
      </c>
    </row>
    <row r="18" spans="1:10" ht="22.5" hidden="1" customHeight="1">
      <c r="D18" s="6"/>
      <c r="E18" s="1695" t="s">
        <v>35</v>
      </c>
      <c r="F18" s="1649" t="s">
        <v>36</v>
      </c>
      <c r="G18" s="5"/>
      <c r="I18" s="687"/>
      <c r="J18" s="1857" t="s">
        <v>37</v>
      </c>
    </row>
    <row r="19" spans="1:10" ht="22.5" hidden="1" customHeight="1">
      <c r="D19" s="6"/>
      <c r="E19" s="1695" t="s">
        <v>38</v>
      </c>
      <c r="F19" s="1649"/>
      <c r="G19" s="5"/>
      <c r="I19" s="687"/>
      <c r="J19" s="1857"/>
    </row>
    <row r="20" spans="1:10" ht="22.5" hidden="1" customHeight="1">
      <c r="D20" s="6"/>
      <c r="E20" s="7"/>
      <c r="F20" s="185" t="str">
        <f>"Первичное "&amp;IF(TEMPLATE_GROUP="P","установление тарифов","предложение по тарифам")</f>
        <v>Первичное предложение по тарифам</v>
      </c>
      <c r="G20" s="5"/>
      <c r="I20" s="323"/>
      <c r="J20" s="788" t="s">
        <v>39</v>
      </c>
    </row>
    <row r="21" spans="1:10" ht="19.5" hidden="1" customHeight="1">
      <c r="D21" s="6"/>
      <c r="E21" s="320" t="str">
        <f>"Дата "&amp;IF(TEMPLATE_GROUP="P","документа","подачи заявления")&amp;" об "&amp;IF(TITLE_DATE_PR_CHANGE="","утверждении","изменении")&amp;" тарифов"</f>
        <v>Дата подачи заявления об утверждении тарифов</v>
      </c>
      <c r="F21" s="1648" t="s">
        <v>18</v>
      </c>
      <c r="G21" s="5"/>
      <c r="I21" s="688"/>
    </row>
    <row r="22" spans="1:10" ht="19.5" hidden="1" customHeight="1">
      <c r="D22" s="6"/>
      <c r="E22" s="320" t="str">
        <f>"Номер "&amp;IF(TEMPLATE_GROUP="P","документа","подачи заявления")&amp;" об "&amp;IF(TITLE_NUMBER_PR_CHANGE="","утверждении","изменении")&amp;" тарифов"</f>
        <v>Номер подачи заявления об утверждении тарифов</v>
      </c>
      <c r="F22" s="133"/>
      <c r="G22" s="5"/>
      <c r="I22" s="688"/>
    </row>
    <row r="23" spans="1:10" ht="22.5" hidden="1" customHeight="1">
      <c r="D23" s="6"/>
      <c r="E23" s="320" t="s">
        <v>40</v>
      </c>
      <c r="F23" s="133"/>
      <c r="G23" s="5"/>
    </row>
    <row r="24" spans="1:10" ht="19.5" hidden="1" customHeight="1">
      <c r="D24" s="6"/>
      <c r="E24" s="320" t="s">
        <v>41</v>
      </c>
      <c r="F24" s="133"/>
      <c r="G24" s="5"/>
    </row>
    <row r="25" spans="1:10" ht="22.5" hidden="1" customHeight="1">
      <c r="D25" s="6"/>
      <c r="E25" s="7"/>
      <c r="F25" s="185" t="str">
        <f>"Изменение "&amp;IF(TEMPLATE_GROUP="P","тарифов","предложения по тарифам")</f>
        <v>Изменение предложения по тарифам</v>
      </c>
      <c r="G25" s="5"/>
      <c r="J25" s="788" t="s">
        <v>42</v>
      </c>
    </row>
    <row r="26" spans="1:10" ht="22.5" hidden="1" customHeight="1">
      <c r="D26" s="6"/>
      <c r="E26" s="320" t="s">
        <v>43</v>
      </c>
      <c r="F26" s="135"/>
      <c r="G26" s="5"/>
    </row>
    <row r="27" spans="1:10" ht="19.5" hidden="1" customHeight="1">
      <c r="D27" s="6"/>
      <c r="E27" s="320" t="s">
        <v>44</v>
      </c>
      <c r="F27" s="1649"/>
      <c r="G27" s="5"/>
    </row>
    <row r="28" spans="1:10" ht="19.5" hidden="1" customHeight="1">
      <c r="D28" s="6"/>
      <c r="E28" s="320" t="s">
        <v>45</v>
      </c>
      <c r="F28" s="135"/>
      <c r="G28" s="5"/>
    </row>
    <row r="29" spans="1:10" ht="19.5" hidden="1" customHeight="1">
      <c r="D29" s="6"/>
      <c r="E29" s="320" t="s">
        <v>41</v>
      </c>
      <c r="F29" s="135"/>
      <c r="G29" s="5"/>
    </row>
    <row r="30" spans="1:10" s="1530" customFormat="1" ht="6" customHeight="1">
      <c r="A30" s="698"/>
      <c r="B30" s="148"/>
      <c r="C30" s="149"/>
      <c r="D30" s="154"/>
      <c r="E30" s="152"/>
      <c r="F30" s="155"/>
      <c r="G30" s="8"/>
      <c r="H30" s="339"/>
      <c r="I30" s="341"/>
      <c r="J30" s="787"/>
    </row>
    <row r="31" spans="1:10" ht="19.5" customHeight="1">
      <c r="C31" s="9"/>
      <c r="D31" s="10"/>
      <c r="E31" s="320" t="s">
        <v>46</v>
      </c>
      <c r="F31" s="134" t="s">
        <v>47</v>
      </c>
      <c r="G31" s="689"/>
    </row>
    <row r="32" spans="1:10" ht="19.5" hidden="1" customHeight="1">
      <c r="C32" s="9"/>
      <c r="D32" s="10"/>
      <c r="E32" s="321" t="s">
        <v>48</v>
      </c>
      <c r="F32" s="1683"/>
      <c r="G32" s="689"/>
    </row>
    <row r="33" spans="1:10" ht="19.5" customHeight="1">
      <c r="C33" s="9"/>
      <c r="D33" s="10"/>
      <c r="E33" s="320" t="s">
        <v>49</v>
      </c>
      <c r="F33" s="134" t="s">
        <v>50</v>
      </c>
      <c r="G33" s="689"/>
    </row>
    <row r="34" spans="1:10" ht="19.5" customHeight="1">
      <c r="C34" s="9"/>
      <c r="D34" s="10"/>
      <c r="E34" s="320" t="s">
        <v>51</v>
      </c>
      <c r="F34" s="134" t="s">
        <v>52</v>
      </c>
      <c r="G34" s="689"/>
      <c r="H34" s="11"/>
    </row>
    <row r="35" spans="1:10" s="1530" customFormat="1" ht="11.25" customHeight="1">
      <c r="A35" s="698"/>
      <c r="B35" s="148"/>
      <c r="C35" s="149"/>
      <c r="D35" s="154"/>
      <c r="E35" s="152"/>
      <c r="F35" s="155"/>
      <c r="G35" s="8"/>
      <c r="H35" s="339"/>
      <c r="I35" s="341"/>
      <c r="J35" s="787"/>
    </row>
    <row r="36" spans="1:10" ht="19.5" hidden="1" customHeight="1">
      <c r="A36" s="792"/>
      <c r="D36" s="10"/>
      <c r="E36" s="320" t="s">
        <v>53</v>
      </c>
      <c r="F36" s="269"/>
      <c r="G36" s="8"/>
    </row>
    <row r="37" spans="1:10" ht="19.5" customHeight="1">
      <c r="A37" s="792"/>
      <c r="D37" s="10"/>
      <c r="E37" s="320" t="s">
        <v>54</v>
      </c>
      <c r="F37" s="1114" t="s">
        <v>55</v>
      </c>
      <c r="G37" s="8"/>
    </row>
    <row r="38" spans="1:10" s="1530" customFormat="1" ht="6" customHeight="1">
      <c r="A38" s="698"/>
      <c r="B38" s="148"/>
      <c r="C38" s="149"/>
      <c r="D38" s="150"/>
      <c r="E38" s="151"/>
      <c r="F38" s="961"/>
      <c r="G38" s="5"/>
      <c r="H38" s="339"/>
      <c r="I38" s="341"/>
      <c r="J38" s="789"/>
    </row>
    <row r="39" spans="1:10" ht="22.5" customHeight="1">
      <c r="A39" s="698"/>
      <c r="D39" s="6"/>
      <c r="E39" s="320" t="s">
        <v>56</v>
      </c>
      <c r="F39" s="625" t="s">
        <v>57</v>
      </c>
      <c r="G39" s="5"/>
      <c r="H39" s="686" t="s">
        <v>19</v>
      </c>
    </row>
    <row r="40" spans="1:10" s="1530" customFormat="1" ht="6" hidden="1" customHeight="1">
      <c r="A40" s="697"/>
      <c r="B40" s="354"/>
      <c r="C40" s="355"/>
      <c r="D40" s="356"/>
      <c r="E40" s="357"/>
      <c r="F40" s="961"/>
      <c r="G40" s="5"/>
      <c r="H40" s="339"/>
      <c r="I40" s="341"/>
      <c r="J40" s="789"/>
    </row>
    <row r="41" spans="1:10" s="1552" customFormat="1" ht="19.5" hidden="1" customHeight="1">
      <c r="A41" s="701" t="s">
        <v>23</v>
      </c>
      <c r="B41" s="343"/>
      <c r="C41" s="338"/>
      <c r="D41" s="340"/>
      <c r="E41" s="320" t="str">
        <f>"Дифференциация информации по централизованным системам  "&amp;TEMPLATE_SPHERE_RUS</f>
        <v>Дифференциация информации по централизованным системам  холодного водоснабжения</v>
      </c>
      <c r="F41" s="625" t="s">
        <v>57</v>
      </c>
      <c r="G41" s="5"/>
      <c r="I41" s="341"/>
      <c r="J41" s="789"/>
    </row>
    <row r="42" spans="1:10" s="1530" customFormat="1" ht="6" hidden="1" customHeight="1">
      <c r="A42" s="697"/>
      <c r="B42" s="354"/>
      <c r="C42" s="355"/>
      <c r="D42" s="356"/>
      <c r="E42" s="357"/>
      <c r="F42" s="961"/>
      <c r="G42" s="5"/>
      <c r="H42" s="339"/>
      <c r="I42" s="341"/>
      <c r="J42" s="787"/>
    </row>
    <row r="43" spans="1:10" s="1552" customFormat="1" ht="22.5" hidden="1" customHeight="1">
      <c r="A43" s="697"/>
      <c r="B43" s="343"/>
      <c r="C43" s="338"/>
      <c r="D43" s="340"/>
      <c r="E43" s="320" t="s">
        <v>58</v>
      </c>
      <c r="F43" s="625" t="s">
        <v>59</v>
      </c>
      <c r="G43" s="5"/>
      <c r="I43" s="341"/>
      <c r="J43" s="789"/>
    </row>
    <row r="44" spans="1:10" s="1552" customFormat="1" ht="22.5" hidden="1" customHeight="1">
      <c r="A44" s="697"/>
      <c r="B44" s="343"/>
      <c r="C44" s="338"/>
      <c r="D44" s="340"/>
      <c r="E44" s="1067" t="s">
        <v>60</v>
      </c>
      <c r="F44" s="665"/>
      <c r="G44" s="5"/>
      <c r="I44" s="341"/>
      <c r="J44" s="789"/>
    </row>
    <row r="45" spans="1:10" s="1530" customFormat="1" ht="6" hidden="1" customHeight="1">
      <c r="A45" s="697"/>
      <c r="B45" s="354"/>
      <c r="C45" s="355"/>
      <c r="D45" s="356"/>
      <c r="E45" s="357"/>
      <c r="F45" s="961"/>
      <c r="G45" s="5"/>
      <c r="H45" s="339"/>
      <c r="I45" s="341"/>
      <c r="J45" s="789"/>
    </row>
    <row r="46" spans="1:10" s="1530" customFormat="1" ht="22.5" hidden="1" customHeight="1">
      <c r="A46" s="697"/>
      <c r="B46" s="354"/>
      <c r="C46" s="355"/>
      <c r="D46" s="356"/>
      <c r="E46" s="1067" t="s">
        <v>61</v>
      </c>
      <c r="F46" s="625" t="s">
        <v>57</v>
      </c>
      <c r="G46" s="5"/>
      <c r="H46" s="339"/>
      <c r="I46" s="341"/>
      <c r="J46" s="789"/>
    </row>
    <row r="47" spans="1:10" s="1552" customFormat="1" ht="22.5" hidden="1" customHeight="1">
      <c r="A47" s="697"/>
      <c r="B47" s="343"/>
      <c r="C47" s="338"/>
      <c r="D47" s="340"/>
      <c r="E47" s="1067" t="s">
        <v>62</v>
      </c>
      <c r="F47" s="625" t="s">
        <v>57</v>
      </c>
      <c r="G47" s="5"/>
      <c r="I47" s="341"/>
      <c r="J47" s="789"/>
    </row>
    <row r="48" spans="1:10" s="1530" customFormat="1" ht="6" hidden="1" customHeight="1">
      <c r="A48" s="697"/>
      <c r="B48" s="148"/>
      <c r="C48" s="149"/>
      <c r="D48" s="150"/>
      <c r="E48" s="151"/>
      <c r="F48" s="961"/>
      <c r="G48" s="5"/>
      <c r="H48" s="339"/>
      <c r="I48" s="341"/>
      <c r="J48" s="789"/>
    </row>
    <row r="49" spans="1:16" ht="19.5" hidden="1" customHeight="1">
      <c r="B49" s="68"/>
      <c r="D49" s="6"/>
      <c r="E49" s="320" t="str">
        <f>"Организация осуществляет подключение (технологическое присоединение) к системе "&amp;TEMPLATE_SPHERE_RUS</f>
        <v>Организация осуществляет подключение (технологическое присоединение) к системе холодного водоснабжения</v>
      </c>
      <c r="F49" s="625"/>
      <c r="G49" s="5"/>
    </row>
    <row r="50" spans="1:16" s="1530" customFormat="1" ht="6" hidden="1" customHeight="1">
      <c r="A50" s="698"/>
      <c r="B50" s="354"/>
      <c r="C50" s="355"/>
      <c r="D50" s="154"/>
      <c r="E50" s="152"/>
      <c r="F50" s="155"/>
      <c r="G50" s="8"/>
      <c r="H50" s="339"/>
      <c r="I50" s="341"/>
      <c r="J50" s="789"/>
    </row>
    <row r="51" spans="1:16" s="1552" customFormat="1" ht="22.5" hidden="1" customHeight="1">
      <c r="A51" s="699"/>
      <c r="B51" s="343"/>
      <c r="C51" s="456"/>
      <c r="D51" s="457"/>
      <c r="E51" s="320" t="s">
        <v>63</v>
      </c>
      <c r="F51" s="625" t="s">
        <v>57</v>
      </c>
      <c r="G51" s="458"/>
      <c r="I51" s="459"/>
      <c r="J51" s="791"/>
      <c r="P51" s="460"/>
    </row>
    <row r="52" spans="1:16" s="1530" customFormat="1" ht="6" hidden="1" customHeight="1">
      <c r="A52" s="698"/>
      <c r="B52" s="354"/>
      <c r="C52" s="355"/>
      <c r="D52" s="154"/>
      <c r="E52" s="152"/>
      <c r="F52" s="155"/>
      <c r="G52" s="8"/>
      <c r="H52" s="339"/>
      <c r="I52" s="341"/>
      <c r="J52" s="787"/>
    </row>
    <row r="53" spans="1:16" s="1552" customFormat="1" ht="22.5" hidden="1" customHeight="1">
      <c r="A53" s="699"/>
      <c r="B53" s="343"/>
      <c r="C53" s="456"/>
      <c r="D53" s="457"/>
      <c r="E53" s="320" t="s">
        <v>64</v>
      </c>
      <c r="F53" s="956" t="s">
        <v>57</v>
      </c>
      <c r="G53" s="458"/>
      <c r="I53" s="459"/>
      <c r="J53" s="791"/>
      <c r="P53" s="460"/>
    </row>
    <row r="54" spans="1:16" s="1552" customFormat="1" ht="22.5" hidden="1" customHeight="1">
      <c r="A54" s="699"/>
      <c r="B54" s="343"/>
      <c r="C54" s="456"/>
      <c r="D54" s="457"/>
      <c r="E54" s="320" t="s">
        <v>65</v>
      </c>
      <c r="F54" s="1694"/>
      <c r="G54" s="458"/>
      <c r="I54" s="459"/>
      <c r="J54" s="791"/>
      <c r="P54" s="460"/>
    </row>
    <row r="55" spans="1:16" s="1530" customFormat="1" ht="6" hidden="1" customHeight="1">
      <c r="A55" s="698"/>
      <c r="B55" s="354"/>
      <c r="C55" s="355"/>
      <c r="D55" s="154"/>
      <c r="E55" s="152"/>
      <c r="F55" s="155"/>
      <c r="G55" s="8"/>
      <c r="H55" s="339"/>
      <c r="I55" s="341"/>
      <c r="J55" s="787"/>
    </row>
    <row r="56" spans="1:16" s="1552" customFormat="1" ht="22.5" hidden="1" customHeight="1">
      <c r="A56" s="699"/>
      <c r="B56" s="343"/>
      <c r="C56" s="456"/>
      <c r="D56" s="457"/>
      <c r="E56" s="320" t="s">
        <v>66</v>
      </c>
      <c r="F56" s="956" t="s">
        <v>57</v>
      </c>
      <c r="G56" s="458"/>
      <c r="I56" s="459"/>
      <c r="J56" s="791"/>
      <c r="P56" s="460"/>
    </row>
    <row r="57" spans="1:16" s="1530" customFormat="1" ht="6" hidden="1" customHeight="1">
      <c r="A57" s="698"/>
      <c r="B57" s="354"/>
      <c r="C57" s="355"/>
      <c r="D57" s="154"/>
      <c r="E57" s="152"/>
      <c r="F57" s="155"/>
      <c r="G57" s="8"/>
      <c r="H57" s="339"/>
      <c r="I57" s="341"/>
      <c r="J57" s="787"/>
    </row>
    <row r="58" spans="1:16" s="1552" customFormat="1" ht="15" hidden="1" customHeight="1">
      <c r="A58" s="699"/>
      <c r="B58" s="343"/>
      <c r="C58" s="456"/>
      <c r="D58" s="457"/>
      <c r="E58" s="320" t="s">
        <v>67</v>
      </c>
      <c r="F58" s="956" t="s">
        <v>59</v>
      </c>
      <c r="G58" s="458"/>
      <c r="I58" s="459"/>
      <c r="J58" s="791"/>
      <c r="P58" s="460"/>
    </row>
    <row r="59" spans="1:16" s="1552" customFormat="1" ht="15" hidden="1" customHeight="1">
      <c r="A59" s="699"/>
      <c r="B59" s="343"/>
      <c r="C59" s="456"/>
      <c r="D59" s="457"/>
      <c r="E59" s="320" t="str">
        <f>"Инвестиционная программа относится к деятельности, при осуществлении которой расчеты за товары (услуги) в сфере  "&amp;TEMPLATE_SPHERE_RUS&amp;" осуществляются по регулируемым ценам (тарифам) (за исключением деятельности по подключению (технологическому присоединению) к системе  "&amp;TEMPLATE_SPHERE_RUS&amp;")"</f>
        <v>Инвестиционная программа относится к деятельности, при осуществлении которой расчеты за товары (услуги) в сфере  холодного водоснабжения осуществляются по регулируемым ценам (тарифам) (за исключением деятельности по подключению (технологическому присоединению) к системе  холодного водоснабжения)</v>
      </c>
      <c r="F59" s="1093"/>
      <c r="G59" s="458"/>
      <c r="I59" s="459"/>
      <c r="J59" s="791"/>
      <c r="P59" s="460"/>
    </row>
    <row r="60" spans="1:16" s="1552" customFormat="1" ht="15" hidden="1" customHeight="1">
      <c r="A60" s="699"/>
      <c r="B60" s="343"/>
      <c r="C60" s="456"/>
      <c r="D60" s="457"/>
      <c r="E60" s="1067" t="s">
        <v>68</v>
      </c>
      <c r="F60" s="1053"/>
      <c r="G60" s="458"/>
      <c r="I60" s="459"/>
      <c r="J60" s="791"/>
      <c r="P60" s="460"/>
    </row>
    <row r="61" spans="1:16" s="1530" customFormat="1" ht="6" hidden="1" customHeight="1">
      <c r="A61" s="698"/>
      <c r="B61" s="354"/>
      <c r="C61" s="355"/>
      <c r="D61" s="356"/>
      <c r="E61" s="357"/>
      <c r="F61" s="961"/>
      <c r="G61" s="5"/>
      <c r="H61" s="339"/>
      <c r="I61" s="341"/>
      <c r="J61" s="789"/>
    </row>
    <row r="62" spans="1:16" s="1552" customFormat="1" ht="33.75" hidden="1" customHeight="1">
      <c r="A62" s="698"/>
      <c r="B62" s="27"/>
      <c r="C62" s="338"/>
      <c r="D62" s="340"/>
      <c r="E62" s="1067" t="s">
        <v>69</v>
      </c>
      <c r="F62" s="1588" t="s">
        <v>59</v>
      </c>
      <c r="G62" s="5"/>
      <c r="H62" s="686" t="s">
        <v>19</v>
      </c>
      <c r="I62" s="341"/>
      <c r="J62" s="789"/>
    </row>
    <row r="63" spans="1:16" s="1530" customFormat="1" ht="6" customHeight="1">
      <c r="A63" s="698"/>
      <c r="B63" s="148"/>
      <c r="C63" s="149"/>
      <c r="D63" s="154"/>
      <c r="E63" s="152"/>
      <c r="F63" s="155"/>
      <c r="G63" s="8"/>
      <c r="H63" s="339"/>
      <c r="I63" s="341"/>
      <c r="J63" s="787"/>
    </row>
    <row r="64" spans="1:16" ht="19.5" customHeight="1">
      <c r="B64" s="28"/>
      <c r="D64" s="13"/>
      <c r="E64" s="320" t="s">
        <v>70</v>
      </c>
      <c r="F64" s="133" t="s">
        <v>71</v>
      </c>
      <c r="G64" s="8"/>
    </row>
    <row r="65" spans="2:9" ht="19.5" customHeight="1">
      <c r="B65" s="28"/>
      <c r="D65" s="13"/>
      <c r="E65" s="320" t="s">
        <v>72</v>
      </c>
      <c r="F65" s="133" t="s">
        <v>73</v>
      </c>
      <c r="G65" s="8"/>
    </row>
    <row r="66" spans="2:9" ht="35.25" customHeight="1">
      <c r="D66" s="6"/>
      <c r="E66" s="322" t="s">
        <v>74</v>
      </c>
      <c r="F66" s="962"/>
      <c r="G66" s="5"/>
    </row>
    <row r="67" spans="2:9" ht="19.5" customHeight="1">
      <c r="D67" s="340"/>
      <c r="E67" s="320" t="s">
        <v>75</v>
      </c>
      <c r="F67" s="186" t="s">
        <v>76</v>
      </c>
      <c r="G67" s="8"/>
    </row>
    <row r="68" spans="2:9" ht="19.5" customHeight="1">
      <c r="B68" s="28"/>
      <c r="D68" s="13"/>
      <c r="E68" s="320" t="s">
        <v>77</v>
      </c>
      <c r="F68" s="186" t="s">
        <v>78</v>
      </c>
      <c r="G68" s="8"/>
    </row>
    <row r="69" spans="2:9" ht="19.5" customHeight="1">
      <c r="B69" s="28"/>
      <c r="D69" s="13"/>
      <c r="E69" s="320" t="s">
        <v>79</v>
      </c>
      <c r="F69" s="186" t="s">
        <v>80</v>
      </c>
      <c r="G69" s="8"/>
    </row>
    <row r="70" spans="2:9" ht="19.5" customHeight="1">
      <c r="D70" s="340"/>
      <c r="E70" s="320" t="s">
        <v>81</v>
      </c>
      <c r="F70" s="1808" t="s">
        <v>82</v>
      </c>
      <c r="G70" s="5"/>
    </row>
    <row r="71" spans="2:9" ht="20.25" customHeight="1">
      <c r="D71" s="5"/>
      <c r="F71" s="55"/>
      <c r="G71" s="8"/>
    </row>
    <row r="72" spans="2:9" ht="19.5" customHeight="1">
      <c r="B72" s="28"/>
      <c r="D72" s="13"/>
      <c r="E72" s="12"/>
      <c r="F72" s="56"/>
      <c r="G72" s="8"/>
    </row>
    <row r="73" spans="2:9" ht="19.5" customHeight="1">
      <c r="B73" s="28"/>
      <c r="D73" s="13"/>
      <c r="E73" s="12"/>
      <c r="F73" s="56"/>
      <c r="G73" s="8"/>
    </row>
    <row r="74" spans="2:9" ht="19.5" customHeight="1">
      <c r="B74" s="28"/>
      <c r="D74" s="13"/>
      <c r="E74" s="17"/>
      <c r="F74" s="56"/>
      <c r="G74" s="8"/>
    </row>
    <row r="75" spans="2:9" ht="19.5" customHeight="1">
      <c r="B75" s="28"/>
      <c r="D75" s="13"/>
      <c r="E75" s="12"/>
      <c r="F75" s="56"/>
      <c r="G75" s="8"/>
    </row>
    <row r="78" spans="2:9" ht="11.25" customHeight="1">
      <c r="E78" s="319"/>
      <c r="F78" s="319"/>
      <c r="G78" s="319"/>
      <c r="H78" s="319"/>
      <c r="I78" s="319"/>
    </row>
  </sheetData>
  <sheetProtection formatColumns="0" formatRows="0" insertRows="0" deleteColumns="0" deleteRows="0" sort="0" autoFilter="0"/>
  <mergeCells count="3">
    <mergeCell ref="E5:F5"/>
    <mergeCell ref="J18:J19"/>
    <mergeCell ref="A11:A12"/>
  </mergeCells>
  <dataValidations count="11">
    <dataValidation type="list" allowBlank="1" showInputMessage="1" showErrorMessage="1" errorTitle="Ошибка" error="Выберите значение из списка" prompt="Выберите значение из списка" sqref="F9">
      <formula1>ROIV_INFO_LIST</formula1>
    </dataValidation>
    <dataValidation type="list" allowBlank="1" showInputMessage="1" showErrorMessage="1" errorTitle="Ошибка" error="Выберите значение из списка" prompt="Выберите значение из списка" sqref="F60">
      <formula1>TITLE_IP_DETAILED_METHOD_LIST</formula1>
    </dataValidation>
    <dataValidation allowBlank="1" showInputMessage="1" showErrorMessage="1" prompt="Выберите значение из календаря (иконка справа от выбранной ячейки), либо введите дату непосредственно в ячейку в формате - 'ДД.ММ.ГГГГ'" sqref="F54"/>
    <dataValidation type="list" allowBlank="1" showInputMessage="1" showErrorMessage="1" errorTitle="Ошибка" error="Выберите значение из списка" prompt="Выберите значение из списка" sqref="F15">
      <formula1>QUARTER</formula1>
    </dataValidation>
    <dataValidation type="list" allowBlank="1" showInputMessage="1" showErrorMessage="1" errorTitle="Ошибка" error="Выберите значение из списка" prompt="Выберите значение из списка" sqref="F14">
      <formula1>year_list</formula1>
    </dataValidation>
    <dataValidation type="list" allowBlank="1" showInputMessage="1" showErrorMessage="1" errorTitle="Ошибка" error="Выберите значение из списка" prompt="Выберите значение из списка" sqref="F36">
      <formula1>kind_of_org_type</formula1>
    </dataValidation>
    <dataValidation allowBlank="1" showInputMessage="1" showErrorMessage="1" prompt="Для выбора выполните двойной щелчок левой клавиши мыши по соответствующей ячейке." sqref="F49 F53 F56 F58 F51 F39:F41 F43 F45:F47 F62"/>
    <dataValidation type="list" allowBlank="1" showInputMessage="1" showErrorMessage="1" errorTitle="Ошибка" error="Выберите значение из списка" prompt="Выберите значение из списка" sqref="F17">
      <formula1>kind_of_data_type</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F27 F21 F18:F19 F11:F13"/>
    <dataValidation type="list" allowBlank="1" showInputMessage="1" showErrorMessage="1" errorTitle="Ошибка" error="Выберите значение из списка" prompt="Выберите значение из списка" sqref="F37:F38 F61">
      <formula1>kind_of_NDS</formula1>
    </dataValidation>
    <dataValidation type="textLength" operator="lessThanOrEqual" allowBlank="1" showInputMessage="1" showErrorMessage="1" errorTitle="Ошибка" error="Допускается ввод не более 900 символов!" sqref="F72:F75 F28:F29 F64:F65 F67:F70 F22:F24 F26 F32">
      <formula1>900</formula1>
    </dataValidation>
  </dataValidations>
  <hyperlinks>
    <hyperlink ref="H11" location="Титульный!H9" tooltip="Помощь по работе с полями отчётной формы" display="Как заполнить?"/>
    <hyperlink ref="H17" location="Титульный!H9" tooltip="Помощь по работе с полями отчётной формы" display="Как заполнить?"/>
    <hyperlink ref="H39" location="Титульный!H9" tooltip="Помощь по работе с полями отчётной формы" display="Как заполнить?"/>
    <hyperlink ref="H62" location="Титульный!H9" tooltip="Помощь по работе с полями отчётной формы" display="Как заполнить?"/>
    <hyperlink ref="F70" r:id="rId1"/>
  </hyperlinks>
  <pageMargins left="0.75" right="0.75" top="1" bottom="1" header="0.5" footer="0.5"/>
  <pageSetup paperSize="8" orientation="portrait"/>
  <headerFooter>
    <oddHeader>&amp;L&amp;C&amp;R</oddHeader>
    <oddFooter>&amp;L&amp;C&amp;R</oddFooter>
    <evenHeader>&amp;L&amp;C&amp;R</evenHeader>
    <evenFooter>&amp;L&amp;C&amp;R</evenFooter>
  </headerFooter>
  <drawing r:id="rId2"/>
  <legacy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CCFF"/>
    <pageSetUpPr fitToPage="1"/>
  </sheetPr>
  <dimension ref="A1:AB28"/>
  <sheetViews>
    <sheetView showGridLines="0" topLeftCell="C2" zoomScale="90" workbookViewId="0">
      <selection activeCell="H23" sqref="H23"/>
    </sheetView>
  </sheetViews>
  <sheetFormatPr defaultColWidth="9.140625" defaultRowHeight="14.25" customHeight="1"/>
  <cols>
    <col min="1" max="1" width="8" style="1552" hidden="1" customWidth="1"/>
    <col min="2" max="2" width="6" style="1284" hidden="1" customWidth="1"/>
    <col min="3" max="3" width="3.7109375" style="1552" customWidth="1"/>
    <col min="4" max="4" width="3.7109375" style="1762" customWidth="1"/>
    <col min="5" max="5" width="6.28515625" style="1552" customWidth="1"/>
    <col min="6" max="6" width="2.7109375" style="1552" hidden="1" customWidth="1"/>
    <col min="7" max="7" width="46.7109375" style="1552" customWidth="1"/>
    <col min="8" max="8" width="43.140625" style="1552" customWidth="1"/>
    <col min="9" max="9" width="14.85546875" style="1552" customWidth="1"/>
    <col min="10" max="10" width="3.7109375" style="1541" customWidth="1"/>
    <col min="11" max="13" width="9.140625" style="1541" hidden="1"/>
    <col min="14" max="14" width="25.7109375" style="1541" hidden="1" customWidth="1"/>
    <col min="15" max="15" width="14.42578125" style="1541" hidden="1" customWidth="1"/>
    <col min="16" max="19" width="9.140625" style="142" hidden="1"/>
    <col min="20" max="27" width="9.140625" style="1552" hidden="1"/>
    <col min="28" max="28" width="9.140625" style="1552"/>
  </cols>
  <sheetData>
    <row r="1" spans="1:28" s="1559" customFormat="1" ht="5.25" hidden="1" customHeight="1">
      <c r="A1" s="422"/>
      <c r="B1" s="437"/>
      <c r="C1" s="437"/>
      <c r="D1" s="138"/>
      <c r="F1" s="437"/>
      <c r="G1" s="162" t="s">
        <v>83</v>
      </c>
      <c r="H1" s="420" t="s">
        <v>84</v>
      </c>
      <c r="I1" s="144" t="s">
        <v>85</v>
      </c>
      <c r="J1" s="162" t="s">
        <v>83</v>
      </c>
      <c r="K1" s="162"/>
      <c r="L1" s="162"/>
      <c r="M1" s="162"/>
      <c r="N1" s="163"/>
      <c r="O1" s="162"/>
      <c r="P1" s="162"/>
      <c r="Q1" s="162"/>
      <c r="R1" s="162"/>
      <c r="S1" s="162"/>
      <c r="T1" s="144"/>
      <c r="U1" s="144"/>
      <c r="V1" s="144"/>
      <c r="W1" s="144"/>
      <c r="X1" s="144"/>
      <c r="Y1" s="144"/>
      <c r="Z1" s="144"/>
      <c r="AA1" s="144"/>
      <c r="AB1" s="144"/>
    </row>
    <row r="2" spans="1:28" s="1330" customFormat="1" ht="11.25" customHeight="1">
      <c r="A2" s="744"/>
      <c r="B2" s="145"/>
      <c r="C2" s="145"/>
      <c r="D2" s="146"/>
      <c r="E2" s="145"/>
      <c r="F2" s="145"/>
      <c r="G2" s="145"/>
      <c r="H2" s="145"/>
      <c r="I2" s="145"/>
      <c r="J2" s="162"/>
      <c r="K2" s="162"/>
      <c r="L2" s="162"/>
      <c r="M2" s="162"/>
      <c r="N2" s="163"/>
      <c r="O2" s="162"/>
      <c r="P2" s="147"/>
      <c r="Q2" s="147"/>
      <c r="R2" s="147"/>
      <c r="S2" s="147"/>
      <c r="T2" s="146"/>
      <c r="U2" s="146"/>
      <c r="V2" s="146"/>
      <c r="W2" s="146"/>
      <c r="X2" s="146"/>
      <c r="Y2" s="146"/>
      <c r="Z2" s="146"/>
      <c r="AA2" s="146"/>
      <c r="AB2" s="146"/>
    </row>
    <row r="3" spans="1:28" s="1740" customFormat="1" ht="3" customHeight="1">
      <c r="A3" s="672"/>
      <c r="B3" s="347"/>
      <c r="C3" s="672"/>
      <c r="D3" s="82"/>
      <c r="E3" s="31"/>
      <c r="F3" s="435"/>
      <c r="G3" s="31"/>
      <c r="H3" s="31"/>
      <c r="I3" s="84"/>
      <c r="J3" s="162"/>
      <c r="K3" s="73"/>
      <c r="L3" s="73"/>
      <c r="M3" s="73"/>
      <c r="N3" s="143"/>
      <c r="O3" s="73"/>
      <c r="P3" s="142"/>
      <c r="Q3" s="142"/>
      <c r="R3" s="142"/>
      <c r="S3" s="142"/>
    </row>
    <row r="4" spans="1:28" s="1740" customFormat="1" ht="25.5" customHeight="1">
      <c r="A4" s="672"/>
      <c r="B4" s="347"/>
      <c r="C4" s="672"/>
      <c r="D4" s="82"/>
      <c r="E4" s="1860" t="str">
        <f>NameTemplatesInListMO</f>
        <v>Перечень муниципальных районов и муниципальных образований (территорий действия тарифа)</v>
      </c>
      <c r="F4" s="1860"/>
      <c r="G4" s="1860"/>
      <c r="H4" s="1860"/>
      <c r="I4" s="1860"/>
      <c r="J4" s="162"/>
      <c r="K4" s="73"/>
      <c r="L4" s="73"/>
      <c r="M4" s="73"/>
      <c r="N4" s="143"/>
      <c r="O4" s="73"/>
      <c r="P4" s="142"/>
      <c r="Q4" s="142"/>
      <c r="R4" s="142"/>
      <c r="S4" s="142"/>
    </row>
    <row r="5" spans="1:28" s="1740" customFormat="1" ht="3" customHeight="1">
      <c r="A5" s="672"/>
      <c r="B5" s="347"/>
      <c r="C5" s="672"/>
      <c r="D5" s="82"/>
      <c r="E5" s="31"/>
      <c r="F5" s="435"/>
      <c r="G5" s="85"/>
      <c r="H5" s="85"/>
      <c r="I5" s="86"/>
      <c r="J5" s="73"/>
      <c r="K5" s="73"/>
      <c r="L5" s="73"/>
      <c r="M5" s="73"/>
      <c r="N5" s="143"/>
      <c r="O5" s="73"/>
      <c r="P5" s="142"/>
      <c r="Q5" s="142"/>
      <c r="R5" s="142"/>
      <c r="S5" s="142"/>
    </row>
    <row r="6" spans="1:28" s="1740" customFormat="1" ht="20.25" hidden="1" customHeight="1">
      <c r="A6" s="750"/>
      <c r="B6" s="746"/>
      <c r="C6" s="87"/>
      <c r="D6" s="82"/>
      <c r="E6" s="692"/>
      <c r="F6" s="692"/>
      <c r="G6" s="85"/>
      <c r="H6" s="88"/>
      <c r="I6" s="88"/>
      <c r="J6" s="73"/>
      <c r="K6" s="73"/>
      <c r="L6" s="73"/>
      <c r="M6" s="73"/>
      <c r="N6" s="143"/>
      <c r="O6" s="73"/>
      <c r="P6" s="142"/>
      <c r="Q6" s="142"/>
      <c r="R6" s="142"/>
      <c r="S6" s="142"/>
    </row>
    <row r="7" spans="1:28" ht="25.5" hidden="1" customHeight="1"/>
    <row r="8" spans="1:28" s="1740" customFormat="1" ht="14.25" customHeight="1">
      <c r="A8" s="672"/>
      <c r="B8" s="347"/>
      <c r="C8" s="672"/>
      <c r="D8" s="82"/>
      <c r="E8" s="1856" t="s">
        <v>86</v>
      </c>
      <c r="F8" s="1861"/>
      <c r="G8" s="1855"/>
      <c r="H8" s="1862" t="s">
        <v>87</v>
      </c>
      <c r="I8" s="1862"/>
      <c r="J8" s="73"/>
      <c r="K8" s="73"/>
      <c r="L8" s="73"/>
      <c r="M8" s="73"/>
      <c r="N8" s="143"/>
      <c r="O8" s="73"/>
      <c r="P8" s="142"/>
      <c r="Q8" s="142"/>
      <c r="R8" s="142"/>
      <c r="S8" s="142"/>
    </row>
    <row r="9" spans="1:28" s="1740" customFormat="1" ht="20.25" customHeight="1">
      <c r="A9" s="672"/>
      <c r="B9" s="347"/>
      <c r="C9" s="672"/>
      <c r="D9" s="82"/>
      <c r="E9" s="690" t="s">
        <v>88</v>
      </c>
      <c r="F9" s="690"/>
      <c r="G9" s="90" t="s">
        <v>89</v>
      </c>
      <c r="H9" s="90" t="s">
        <v>89</v>
      </c>
      <c r="I9" s="90" t="s">
        <v>85</v>
      </c>
      <c r="J9" s="73"/>
      <c r="K9" s="73"/>
      <c r="L9" s="73"/>
      <c r="M9" s="73"/>
      <c r="N9" s="143"/>
      <c r="O9" s="73"/>
      <c r="P9" s="142"/>
      <c r="Q9" s="142"/>
      <c r="R9" s="142"/>
      <c r="S9" s="142"/>
    </row>
    <row r="10" spans="1:28" ht="11.25" customHeight="1">
      <c r="D10" s="94"/>
      <c r="E10" s="691" t="s">
        <v>90</v>
      </c>
      <c r="F10" s="691"/>
      <c r="G10" s="140" t="s">
        <v>91</v>
      </c>
      <c r="H10" s="140" t="s">
        <v>92</v>
      </c>
      <c r="I10" s="140" t="s">
        <v>93</v>
      </c>
      <c r="J10" s="104"/>
      <c r="K10" s="104"/>
      <c r="L10" s="104"/>
      <c r="M10" s="104"/>
      <c r="N10" s="89"/>
      <c r="O10" s="104"/>
      <c r="P10" s="141"/>
      <c r="Q10" s="141"/>
      <c r="R10" s="141"/>
      <c r="S10" s="141"/>
    </row>
    <row r="11" spans="1:28" s="1740" customFormat="1" ht="0.75" customHeight="1">
      <c r="A11" s="672"/>
      <c r="B11" s="347"/>
      <c r="C11" s="672"/>
      <c r="D11" s="82"/>
      <c r="E11" s="703"/>
      <c r="F11" s="703"/>
      <c r="G11" s="91"/>
      <c r="H11" s="91"/>
      <c r="I11" s="93"/>
      <c r="J11" s="164" t="s">
        <v>94</v>
      </c>
      <c r="K11" s="73"/>
      <c r="L11" s="73"/>
      <c r="M11" s="73" t="s">
        <v>95</v>
      </c>
      <c r="N11" s="143" t="s">
        <v>96</v>
      </c>
      <c r="O11" s="73" t="s">
        <v>97</v>
      </c>
      <c r="P11" s="142"/>
      <c r="Q11" s="142"/>
      <c r="R11" s="142"/>
      <c r="S11" s="142"/>
    </row>
    <row r="12" spans="1:28" s="1740" customFormat="1" ht="14.25" customHeight="1">
      <c r="A12" s="1859">
        <v>1</v>
      </c>
      <c r="B12" s="347"/>
      <c r="C12" s="672"/>
      <c r="D12" s="695"/>
      <c r="E12" s="136">
        <f>A12</f>
        <v>1</v>
      </c>
      <c r="F12" s="715" t="s">
        <v>98</v>
      </c>
      <c r="G12" s="465" t="str">
        <f>"Территория "&amp;E12</f>
        <v>Территория 1</v>
      </c>
      <c r="H12" s="705"/>
      <c r="I12" s="705"/>
      <c r="J12" s="702"/>
      <c r="K12" s="426"/>
      <c r="L12" s="426"/>
      <c r="M12" s="426"/>
      <c r="N12" s="143"/>
      <c r="O12" s="426"/>
      <c r="P12" s="142"/>
      <c r="Q12" s="142"/>
      <c r="R12" s="142"/>
      <c r="S12" s="142"/>
    </row>
    <row r="13" spans="1:28" s="1807" customFormat="1" ht="15" customHeight="1">
      <c r="A13" s="1859"/>
      <c r="B13" s="347">
        <v>1</v>
      </c>
      <c r="C13" s="347"/>
      <c r="D13" s="713"/>
      <c r="E13" s="693" t="str">
        <f>A12&amp;"."&amp;B13</f>
        <v>1.1</v>
      </c>
      <c r="F13" s="708" t="s">
        <v>99</v>
      </c>
      <c r="G13" s="706" t="s">
        <v>100</v>
      </c>
      <c r="H13" s="706" t="s">
        <v>100</v>
      </c>
      <c r="I13" s="704" t="s">
        <v>101</v>
      </c>
      <c r="J13" s="426" t="e">
        <f ca="1">MERGEVALUE(G13)</f>
        <v>#NAME?</v>
      </c>
      <c r="K13" s="437"/>
      <c r="L13" s="437"/>
      <c r="M13" s="426" t="str">
        <f t="array" ref="M13">IF(ISERROR(MATCH(MID(N13,1,250),MID(note_ter,1,250),0)),"n","y")</f>
        <v>n</v>
      </c>
      <c r="N13" s="437"/>
      <c r="O13" s="426" t="str">
        <f>H13&amp;"("&amp;I13&amp;")"</f>
        <v>Старооскольский городской округ(14740000)</v>
      </c>
      <c r="P13" s="347"/>
      <c r="Q13" s="347"/>
      <c r="R13" s="349"/>
      <c r="S13" s="347"/>
      <c r="T13" s="347"/>
      <c r="U13" s="347"/>
      <c r="V13" s="351"/>
      <c r="W13" s="351"/>
      <c r="X13" s="348"/>
      <c r="Y13" s="348"/>
      <c r="Z13" s="348"/>
      <c r="AA13" s="348"/>
      <c r="AB13" s="348"/>
    </row>
    <row r="14" spans="1:28" s="1807" customFormat="1" ht="15" customHeight="1">
      <c r="A14" s="1859"/>
      <c r="B14" s="347"/>
      <c r="C14" s="342"/>
      <c r="D14" s="714"/>
      <c r="E14" s="350"/>
      <c r="F14" s="95"/>
      <c r="G14" s="345" t="s">
        <v>102</v>
      </c>
      <c r="H14" s="105"/>
      <c r="I14" s="352"/>
      <c r="J14" s="437"/>
      <c r="K14" s="437"/>
      <c r="L14" s="437"/>
      <c r="M14" s="437"/>
      <c r="N14" s="426"/>
      <c r="O14" s="437"/>
      <c r="P14" s="347"/>
      <c r="Q14" s="347"/>
      <c r="R14" s="349"/>
      <c r="S14" s="347"/>
      <c r="T14" s="347"/>
      <c r="U14" s="347"/>
      <c r="V14" s="351"/>
      <c r="W14" s="351"/>
      <c r="X14" s="348"/>
      <c r="Y14" s="348"/>
      <c r="Z14" s="348"/>
      <c r="AA14" s="348"/>
      <c r="AB14" s="348"/>
    </row>
    <row r="15" spans="1:28" s="1740" customFormat="1" ht="14.25" customHeight="1">
      <c r="A15" s="672"/>
      <c r="B15" s="347"/>
      <c r="C15" s="672"/>
      <c r="D15" s="695"/>
      <c r="E15" s="707"/>
      <c r="F15" s="96"/>
      <c r="G15" s="346" t="s">
        <v>103</v>
      </c>
      <c r="H15" s="96"/>
      <c r="I15" s="97"/>
      <c r="J15" s="164"/>
      <c r="K15" s="73"/>
      <c r="L15" s="73"/>
      <c r="M15" s="73"/>
      <c r="N15" s="143" t="s">
        <v>104</v>
      </c>
      <c r="O15" s="73"/>
      <c r="P15" s="142"/>
      <c r="Q15" s="142"/>
      <c r="R15" s="142"/>
      <c r="S15" s="142"/>
    </row>
    <row r="16" spans="1:28" s="1740" customFormat="1" ht="21" customHeight="1">
      <c r="A16" s="672"/>
      <c r="B16" s="347"/>
      <c r="C16" s="672"/>
      <c r="D16" s="83"/>
      <c r="E16" s="98"/>
      <c r="F16" s="98"/>
      <c r="G16" s="98"/>
      <c r="H16" s="98"/>
      <c r="I16" s="98"/>
      <c r="J16" s="73"/>
      <c r="K16" s="73"/>
      <c r="L16" s="73"/>
      <c r="M16" s="73"/>
      <c r="N16" s="143"/>
      <c r="O16" s="73"/>
      <c r="P16" s="142"/>
      <c r="Q16" s="142"/>
      <c r="R16" s="142"/>
      <c r="S16" s="142"/>
    </row>
    <row r="17" spans="1:19" s="1740" customFormat="1" ht="14.25" customHeight="1">
      <c r="A17" s="672"/>
      <c r="B17" s="347"/>
      <c r="C17" s="672"/>
      <c r="D17" s="83"/>
      <c r="E17" s="14"/>
      <c r="F17" s="672"/>
      <c r="G17" s="14"/>
      <c r="H17" s="14"/>
      <c r="I17" s="14"/>
      <c r="J17" s="73"/>
      <c r="K17" s="73"/>
      <c r="L17" s="73"/>
      <c r="M17" s="73"/>
      <c r="N17" s="143"/>
      <c r="O17" s="73"/>
      <c r="P17" s="142"/>
      <c r="Q17" s="142"/>
      <c r="R17" s="142"/>
      <c r="S17" s="142"/>
    </row>
    <row r="18" spans="1:19" s="1740" customFormat="1" ht="0.75" customHeight="1">
      <c r="A18" s="672"/>
      <c r="B18" s="347"/>
      <c r="C18" s="672"/>
      <c r="D18" s="83"/>
      <c r="E18" s="14"/>
      <c r="F18" s="672"/>
      <c r="G18" s="14"/>
      <c r="H18" s="14"/>
      <c r="I18" s="14"/>
      <c r="J18" s="73"/>
      <c r="K18" s="73"/>
      <c r="L18" s="73"/>
      <c r="M18" s="73"/>
      <c r="N18" s="143"/>
      <c r="O18" s="73"/>
      <c r="P18" s="142"/>
      <c r="Q18" s="142"/>
      <c r="R18" s="142"/>
      <c r="S18" s="142"/>
    </row>
    <row r="19" spans="1:19" s="972" customFormat="1" ht="10.5" customHeight="1">
      <c r="B19" s="747"/>
      <c r="D19" s="100"/>
      <c r="J19" s="73"/>
      <c r="K19" s="73"/>
      <c r="L19" s="73"/>
      <c r="M19" s="73"/>
      <c r="N19" s="143"/>
      <c r="O19" s="73"/>
      <c r="P19" s="142"/>
      <c r="Q19" s="142"/>
      <c r="R19" s="142"/>
      <c r="S19" s="142"/>
    </row>
    <row r="20" spans="1:19" s="972" customFormat="1" ht="10.5" customHeight="1">
      <c r="B20" s="747"/>
      <c r="D20" s="100"/>
      <c r="J20" s="73"/>
      <c r="K20" s="73"/>
      <c r="L20" s="73"/>
      <c r="M20" s="73"/>
      <c r="N20" s="143"/>
      <c r="O20" s="73"/>
      <c r="P20" s="142"/>
      <c r="Q20" s="142"/>
      <c r="R20" s="142"/>
      <c r="S20" s="142"/>
    </row>
    <row r="24" spans="1:19" ht="14.25" customHeight="1">
      <c r="H24"/>
    </row>
    <row r="28" spans="1:19" ht="14.25" customHeight="1">
      <c r="J28" s="14"/>
      <c r="K28" s="14"/>
      <c r="L28" s="14"/>
    </row>
  </sheetData>
  <sheetProtection formatColumns="0" formatRows="0" insertRows="0" deleteColumns="0" deleteRows="0" sort="0" autoFilter="0"/>
  <mergeCells count="4">
    <mergeCell ref="A12:A14"/>
    <mergeCell ref="E4:I4"/>
    <mergeCell ref="E8:G8"/>
    <mergeCell ref="H8:I8"/>
  </mergeCells>
  <dataValidations count="1">
    <dataValidation type="textLength" operator="lessThanOrEqual" allowBlank="1" showInputMessage="1" showErrorMessage="1" errorTitle="Ошибка" error="Допускается ввод не более 900 символов!" sqref="G12">
      <formula1>900</formula1>
    </dataValidation>
  </dataValidations>
  <printOptions horizontalCentered="1" verticalCentered="1"/>
  <pageMargins left="0" right="0" top="0" bottom="0" header="0" footer="0.79"/>
  <pageSetup paperSize="9" scale="60" fitToHeight="0" orientation="portrait" blackAndWhite="1"/>
  <headerFooter>
    <oddHeader>&amp;L&amp;C&amp;R</oddHeader>
    <oddFooter>&amp;L&amp;C&amp;R</oddFooter>
    <evenHeader>&amp;L&amp;C&amp;R</evenHeader>
    <evenFooter>&amp;L&amp;C&amp;R</evenFooter>
  </headerFooter>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CCFF"/>
  </sheetPr>
  <dimension ref="A1:AL17"/>
  <sheetViews>
    <sheetView showGridLines="0" topLeftCell="C3" zoomScale="90" workbookViewId="0">
      <selection activeCell="M14" sqref="M14"/>
    </sheetView>
  </sheetViews>
  <sheetFormatPr defaultColWidth="9.140625" defaultRowHeight="11.25" customHeight="1"/>
  <cols>
    <col min="1" max="1" width="6.42578125" style="1773" hidden="1" customWidth="1"/>
    <col min="2" max="2" width="2" style="1773" hidden="1" customWidth="1"/>
    <col min="3" max="3" width="3.7109375" style="1773" customWidth="1"/>
    <col min="4" max="4" width="4.28515625" style="1773" customWidth="1"/>
    <col min="5" max="5" width="45" style="1773" customWidth="1"/>
    <col min="6" max="6" width="6.42578125" style="1773" customWidth="1"/>
    <col min="7" max="7" width="4.42578125" style="1773" customWidth="1"/>
    <col min="8" max="8" width="5.5703125" style="1773" customWidth="1"/>
    <col min="9" max="9" width="52.85546875" style="1773" customWidth="1"/>
    <col min="10" max="10" width="7" style="1773" customWidth="1"/>
    <col min="11" max="11" width="3.7109375" style="1773" customWidth="1"/>
    <col min="12" max="12" width="6.28515625" style="1773" customWidth="1"/>
    <col min="13" max="13" width="56.28515625" style="1773" customWidth="1"/>
    <col min="14" max="14" width="9.140625" style="1288"/>
    <col min="15" max="20" width="9.140625" style="1541" hidden="1"/>
    <col min="21" max="24" width="9.140625" style="1187" hidden="1"/>
    <col min="25" max="37" width="9.140625" style="1288" hidden="1"/>
    <col min="38" max="38" width="9.140625" style="1288"/>
  </cols>
  <sheetData>
    <row r="1" spans="1:38" ht="11.25" hidden="1" customHeight="1"/>
    <row r="2" spans="1:38" ht="11.25" hidden="1" customHeight="1"/>
    <row r="4" spans="1:38" ht="34.5" customHeight="1">
      <c r="A4" s="505"/>
      <c r="B4" s="505"/>
      <c r="D4" s="1867" t="str">
        <f>Титульный!E5</f>
        <v>Информация о наличии (отсутствии) технической возможности подключения к централизованной системе холодного водоснабжения, а также о регистрации и ходе реализации заявок о подключении к централизованной системе холодного водоснабжения</v>
      </c>
      <c r="E4" s="1868"/>
      <c r="F4" s="1868"/>
      <c r="G4" s="1868"/>
      <c r="H4" s="1868"/>
      <c r="I4" s="1869"/>
      <c r="J4" s="504"/>
      <c r="K4" s="504"/>
      <c r="L4" s="504"/>
      <c r="M4" s="504"/>
    </row>
    <row r="5" spans="1:38" s="508" customFormat="1" ht="15" customHeight="1">
      <c r="A5" s="505"/>
      <c r="B5" s="505"/>
      <c r="C5" s="505"/>
      <c r="D5" s="1870" t="str">
        <f>IF(org=0,"Не определено",org)</f>
        <v>АО СЗ "КМАпроектжилстрой"</v>
      </c>
      <c r="E5" s="1871"/>
      <c r="F5" s="1871"/>
      <c r="G5" s="1871"/>
      <c r="H5" s="1871"/>
      <c r="I5" s="1872"/>
      <c r="J5" s="506"/>
      <c r="K5" s="506"/>
      <c r="L5" s="506"/>
      <c r="M5" s="506"/>
      <c r="N5" s="506"/>
      <c r="O5" s="783"/>
      <c r="P5" s="783"/>
      <c r="Q5" s="783"/>
      <c r="R5" s="783"/>
      <c r="S5" s="783"/>
      <c r="T5" s="783"/>
      <c r="U5" s="1183"/>
      <c r="V5" s="1183"/>
      <c r="W5" s="1183"/>
      <c r="X5" s="1183"/>
      <c r="Y5" s="506"/>
      <c r="Z5" s="506"/>
      <c r="AA5" s="506"/>
      <c r="AB5" s="506"/>
      <c r="AC5" s="506"/>
      <c r="AD5" s="506"/>
      <c r="AE5" s="506"/>
      <c r="AF5" s="506"/>
      <c r="AG5" s="506"/>
      <c r="AH5" s="506"/>
      <c r="AI5" s="506"/>
      <c r="AJ5" s="506"/>
      <c r="AK5" s="506"/>
      <c r="AL5" s="506"/>
    </row>
    <row r="6" spans="1:38" s="508" customFormat="1" ht="6" customHeight="1">
      <c r="A6" s="1859"/>
      <c r="B6" s="1859"/>
      <c r="C6" s="1859"/>
      <c r="D6" s="1859"/>
      <c r="E6" s="1859"/>
      <c r="F6" s="1859"/>
      <c r="G6" s="507"/>
      <c r="H6" s="507"/>
      <c r="I6" s="507"/>
      <c r="J6" s="507"/>
      <c r="K6" s="507"/>
      <c r="N6" s="509"/>
      <c r="O6" s="1332"/>
      <c r="P6" s="1332"/>
      <c r="Q6" s="1332"/>
      <c r="R6" s="1332"/>
      <c r="S6" s="1332"/>
      <c r="T6" s="1332"/>
      <c r="U6" s="1185"/>
      <c r="V6" s="1185"/>
      <c r="W6" s="1185"/>
      <c r="X6" s="1185"/>
      <c r="Y6" s="509"/>
      <c r="Z6" s="509"/>
      <c r="AA6" s="509"/>
      <c r="AB6" s="509"/>
      <c r="AC6" s="509"/>
      <c r="AD6" s="509"/>
      <c r="AE6" s="509"/>
      <c r="AF6" s="509"/>
      <c r="AG6" s="509"/>
      <c r="AH6" s="509"/>
      <c r="AI6" s="509"/>
      <c r="AJ6" s="509"/>
      <c r="AK6" s="509"/>
      <c r="AL6" s="509"/>
    </row>
    <row r="7" spans="1:38" ht="45.75" hidden="1" customHeight="1">
      <c r="E7" s="1877" t="str">
        <f>"1. В случае дифференциации раскрываемой информации по системам "&amp;TEMPLATE_SPHERE_RUS&amp;" для каждой системы "&amp;TEMPLATE_SPHERE_RUS&amp;"должна быть указана территория, в которую входят только те муниципальные районы и муниципальные образования, на которой расположена данная система. На веб-портале РИ системы "&amp;TEMPLATE_SPHERE_RUS&amp;"будут отображены во всех МР/МО, входящих в указанную для них территорию.
2. Для каждого вида деятельности также необходимо указывать только те территории, на которых осуществляется данный вид деятельности."</f>
        <v>1. В случае дифференциации раскрываемой информации по системам холодного водоснабжения для каждой системы холодного водоснабжениядолжна быть указана территория, в которую входят только те муниципальные районы и муниципальные образования, на которой расположена данная система. На веб-портале РИ системы холодного водоснабжениябудут отображены во всех МР/МО, входящих в указанную для них территорию.
2. Для каждого вида деятельности также необходимо указывать только те территории, на которых осуществляется данный вид деятельности.</v>
      </c>
      <c r="F7" s="1878"/>
      <c r="G7" s="1878"/>
      <c r="H7" s="1878"/>
      <c r="I7" s="1878"/>
      <c r="J7" s="1878"/>
      <c r="K7" s="1878"/>
      <c r="L7" s="1878"/>
      <c r="M7" s="1878"/>
    </row>
    <row r="8" spans="1:38" s="508" customFormat="1" ht="6" customHeight="1">
      <c r="A8" s="510"/>
      <c r="B8" s="510"/>
      <c r="C8" s="510"/>
      <c r="D8" s="510"/>
      <c r="E8" s="510"/>
      <c r="F8" s="510"/>
      <c r="G8" s="510"/>
      <c r="H8" s="510"/>
      <c r="I8" s="510"/>
      <c r="J8" s="510"/>
      <c r="K8" s="510"/>
      <c r="L8" s="510"/>
      <c r="N8" s="506"/>
      <c r="O8" s="783"/>
      <c r="P8" s="783"/>
      <c r="Q8" s="783"/>
      <c r="R8" s="783"/>
      <c r="S8" s="783"/>
      <c r="T8" s="783"/>
      <c r="U8" s="1183"/>
      <c r="V8" s="1183"/>
      <c r="W8" s="1183"/>
      <c r="X8" s="1183"/>
      <c r="Y8" s="506"/>
      <c r="Z8" s="506"/>
      <c r="AA8" s="506"/>
      <c r="AB8" s="506"/>
      <c r="AC8" s="506"/>
      <c r="AD8" s="506"/>
      <c r="AE8" s="506"/>
      <c r="AF8" s="506"/>
      <c r="AG8" s="506"/>
      <c r="AH8" s="506"/>
      <c r="AI8" s="506"/>
      <c r="AJ8" s="506"/>
      <c r="AK8" s="506"/>
      <c r="AL8" s="506"/>
    </row>
    <row r="9" spans="1:38" ht="18" customHeight="1">
      <c r="A9" s="1873"/>
      <c r="B9" s="244"/>
      <c r="C9" s="244"/>
      <c r="D9" s="1874" t="s">
        <v>105</v>
      </c>
      <c r="E9" s="1874"/>
      <c r="F9" s="1875" t="s">
        <v>106</v>
      </c>
      <c r="G9" s="1876"/>
      <c r="H9" s="1876"/>
      <c r="I9" s="1876"/>
      <c r="J9" s="1879" t="s">
        <v>107</v>
      </c>
      <c r="K9" s="1879"/>
      <c r="L9" s="1879"/>
      <c r="M9" s="1879"/>
    </row>
    <row r="10" spans="1:38" ht="22.5" customHeight="1">
      <c r="A10" s="1873"/>
      <c r="B10" s="511"/>
      <c r="C10" s="451"/>
      <c r="D10" s="449" t="s">
        <v>88</v>
      </c>
      <c r="E10" s="449" t="s">
        <v>89</v>
      </c>
      <c r="F10" s="449" t="s">
        <v>108</v>
      </c>
      <c r="G10" s="1880" t="s">
        <v>88</v>
      </c>
      <c r="H10" s="1881"/>
      <c r="I10" s="449" t="s">
        <v>89</v>
      </c>
      <c r="J10" s="449" t="s">
        <v>108</v>
      </c>
      <c r="K10" s="1880" t="s">
        <v>88</v>
      </c>
      <c r="L10" s="1881"/>
      <c r="M10" s="449" t="s">
        <v>89</v>
      </c>
      <c r="N10" s="1544"/>
    </row>
    <row r="11" spans="1:38" s="1773" customFormat="1" ht="11.25" hidden="1" customHeight="1">
      <c r="A11" s="512"/>
      <c r="B11" s="512"/>
      <c r="C11" s="512"/>
      <c r="D11" s="513" t="s">
        <v>109</v>
      </c>
      <c r="E11" s="513" t="s">
        <v>110</v>
      </c>
      <c r="F11" s="513" t="s">
        <v>90</v>
      </c>
      <c r="G11" s="1863" t="s">
        <v>91</v>
      </c>
      <c r="H11" s="1864"/>
      <c r="I11" s="513" t="s">
        <v>111</v>
      </c>
      <c r="J11" s="513" t="s">
        <v>92</v>
      </c>
      <c r="K11" s="1865" t="s">
        <v>93</v>
      </c>
      <c r="L11" s="1866"/>
      <c r="M11" s="513" t="s">
        <v>112</v>
      </c>
      <c r="N11" s="1543"/>
      <c r="O11" s="1331"/>
      <c r="P11" s="1333"/>
      <c r="Q11" s="1333"/>
      <c r="R11" s="1333"/>
      <c r="S11" s="1333"/>
      <c r="T11" s="1333"/>
      <c r="U11" s="1186"/>
      <c r="V11" s="1186"/>
      <c r="W11" s="1186"/>
      <c r="X11" s="1186"/>
      <c r="Y11" s="514"/>
      <c r="Z11" s="514"/>
      <c r="AA11" s="514"/>
      <c r="AB11" s="514"/>
      <c r="AC11" s="514"/>
      <c r="AD11" s="514"/>
      <c r="AE11" s="514"/>
      <c r="AF11" s="514"/>
      <c r="AG11" s="514"/>
      <c r="AH11" s="514"/>
      <c r="AI11" s="514"/>
      <c r="AJ11" s="514"/>
      <c r="AK11" s="514"/>
      <c r="AL11" s="514"/>
    </row>
    <row r="12" spans="1:38" ht="0.75" customHeight="1">
      <c r="A12" s="515"/>
      <c r="B12" s="516"/>
      <c r="C12" s="516"/>
      <c r="D12" s="517"/>
      <c r="E12" s="291"/>
      <c r="F12" s="518"/>
      <c r="G12" s="967"/>
      <c r="H12" s="967"/>
      <c r="I12" s="518"/>
      <c r="J12" s="518"/>
      <c r="K12" s="92"/>
      <c r="L12" s="291"/>
      <c r="M12" s="519"/>
      <c r="N12" s="1544"/>
      <c r="O12" s="1331" t="s">
        <v>113</v>
      </c>
      <c r="P12" s="1331" t="s">
        <v>114</v>
      </c>
      <c r="Q12" s="1331" t="s">
        <v>115</v>
      </c>
      <c r="R12" s="1331" t="s">
        <v>116</v>
      </c>
    </row>
    <row r="13" spans="1:38" s="1773" customFormat="1" ht="15" customHeight="1">
      <c r="A13"/>
      <c r="B13"/>
      <c r="C13" s="452"/>
      <c r="D13" s="1886" t="s">
        <v>109</v>
      </c>
      <c r="E13" s="1887" t="str">
        <f>INDEX(VD_NAME_LIST,MATCH("4189671",VD_ID_LIST,0))&amp;"; "&amp;INDEX(VD_NAME_LIST,MATCH("4189674",VD_ID_LIST,0))&amp;"; "&amp;INDEX(VD_NAME_LIST,MATCH("4189677",VD_ID_LIST,0))</f>
        <v>Холодное водоснабжение. Питьевая вода; Транспортировка. Питьевая вода; Подключение (технологическое присоединение) к централизованной системе водоснабжения</v>
      </c>
      <c r="F13" s="1890" t="s">
        <v>57</v>
      </c>
      <c r="G13" s="1891"/>
      <c r="H13" s="1892">
        <v>1</v>
      </c>
      <c r="I13" s="1882" t="s">
        <v>18</v>
      </c>
      <c r="J13" s="1885" t="s">
        <v>59</v>
      </c>
      <c r="K13" s="520"/>
      <c r="L13" s="453" t="s">
        <v>109</v>
      </c>
      <c r="M13" s="1809" t="s">
        <v>117</v>
      </c>
      <c r="N13" s="725"/>
      <c r="O13" s="1334" t="s">
        <v>118</v>
      </c>
      <c r="P13" s="1331" t="str">
        <f>$E$13</f>
        <v>Холодное водоснабжение. Питьевая вода; Транспортировка. Питьевая вода; Подключение (технологическое присоединение) к централизованной системе водоснабжения</v>
      </c>
      <c r="Q13" s="1331" t="str">
        <f>IF($F$13="нет","без дифференциации",$I$13)</f>
        <v>без дифференциации</v>
      </c>
      <c r="R13" s="1331" t="str">
        <f>IF($J$13="нет","без дифференциации",M13)</f>
        <v>Тереховский водозабор</v>
      </c>
      <c r="S13" s="1334"/>
      <c r="T13" s="1334"/>
      <c r="U13" s="1187"/>
      <c r="V13" s="1187" t="s">
        <v>119</v>
      </c>
      <c r="W13" s="1187"/>
      <c r="X13" s="1187"/>
      <c r="Y13" s="522" t="s">
        <v>120</v>
      </c>
      <c r="Z13" s="522">
        <v>1705000</v>
      </c>
      <c r="AA13" s="522"/>
      <c r="AB13" s="522"/>
      <c r="AC13" s="522"/>
      <c r="AD13" s="522"/>
      <c r="AE13" s="522"/>
      <c r="AF13" s="522"/>
      <c r="AG13" s="522"/>
      <c r="AH13" s="522"/>
      <c r="AI13" s="522"/>
      <c r="AJ13" s="522"/>
      <c r="AK13" s="522"/>
      <c r="AL13" s="522"/>
    </row>
    <row r="14" spans="1:38" ht="15" customHeight="1">
      <c r="A14"/>
      <c r="B14"/>
      <c r="C14" s="94"/>
      <c r="D14" s="1883"/>
      <c r="E14" s="1883"/>
      <c r="F14" s="1883"/>
      <c r="G14" s="1883"/>
      <c r="H14" s="1883"/>
      <c r="I14" s="1883"/>
      <c r="J14" s="1883"/>
      <c r="K14" s="1720" t="s">
        <v>121</v>
      </c>
      <c r="L14" s="1645" t="s">
        <v>110</v>
      </c>
      <c r="M14" s="724" t="s">
        <v>122</v>
      </c>
      <c r="N14" s="725"/>
      <c r="O14" s="522" t="s">
        <v>123</v>
      </c>
      <c r="P14" s="522" t="str">
        <f>$E$13</f>
        <v>Холодное водоснабжение. Питьевая вода; Транспортировка. Питьевая вода; Подключение (технологическое присоединение) к централизованной системе водоснабжения</v>
      </c>
      <c r="Q14" s="522" t="str">
        <f>IF($F$13="нет","без дифференциации",$I$13)</f>
        <v>без дифференциации</v>
      </c>
      <c r="R14" s="522" t="str">
        <f>IF($J$14="нет","без дифференциации",$M$14)</f>
        <v>Площадка цем/завода</v>
      </c>
      <c r="S14" s="522"/>
      <c r="T14" s="522"/>
      <c r="U14" s="523"/>
      <c r="V14" s="522"/>
      <c r="W14" s="522"/>
      <c r="X14" s="514"/>
      <c r="Y14" s="514" t="s">
        <v>120</v>
      </c>
      <c r="Z14" s="514">
        <v>1705000</v>
      </c>
      <c r="AA14" s="514"/>
      <c r="AB14" s="514"/>
      <c r="AC14" s="514"/>
      <c r="AD14" s="514"/>
      <c r="AE14" s="514"/>
      <c r="AF14" s="514"/>
      <c r="AG14" s="514"/>
      <c r="AH14" s="514"/>
      <c r="AI14" s="514"/>
      <c r="AJ14" s="514"/>
      <c r="AK14" s="514"/>
      <c r="AL14" s="514"/>
    </row>
    <row r="15" spans="1:38" s="1773" customFormat="1" ht="15" customHeight="1">
      <c r="A15"/>
      <c r="B15"/>
      <c r="C15" s="94"/>
      <c r="D15" s="1886"/>
      <c r="E15" s="1888"/>
      <c r="F15" s="1885"/>
      <c r="G15" s="1891"/>
      <c r="H15" s="1892"/>
      <c r="I15" s="1884" t="s">
        <v>18</v>
      </c>
      <c r="J15" s="1885"/>
      <c r="K15" s="350"/>
      <c r="L15" s="95"/>
      <c r="M15" s="524" t="s">
        <v>124</v>
      </c>
      <c r="N15" s="725"/>
      <c r="O15" s="1334"/>
      <c r="P15" s="1331"/>
      <c r="Q15" s="1331"/>
      <c r="R15" s="1331"/>
      <c r="S15" s="1334"/>
      <c r="T15" s="1334"/>
      <c r="U15" s="1187"/>
      <c r="V15" s="1187"/>
      <c r="W15" s="1187"/>
      <c r="X15" s="1187"/>
      <c r="Y15" s="522"/>
      <c r="Z15" s="522"/>
      <c r="AA15" s="522"/>
      <c r="AB15" s="522"/>
      <c r="AC15" s="522"/>
      <c r="AD15" s="522"/>
      <c r="AE15" s="522"/>
      <c r="AF15" s="522"/>
      <c r="AG15" s="522"/>
      <c r="AH15" s="522"/>
      <c r="AI15" s="522"/>
      <c r="AJ15" s="522"/>
      <c r="AK15" s="522"/>
      <c r="AL15" s="522"/>
    </row>
    <row r="16" spans="1:38" s="1773" customFormat="1" ht="15" customHeight="1">
      <c r="A16"/>
      <c r="B16"/>
      <c r="C16" s="94"/>
      <c r="D16" s="1886"/>
      <c r="E16" s="1889"/>
      <c r="F16" s="1885"/>
      <c r="G16" s="968"/>
      <c r="H16" s="969"/>
      <c r="I16" s="501" t="s">
        <v>125</v>
      </c>
      <c r="J16" s="95"/>
      <c r="K16" s="95"/>
      <c r="L16" s="95"/>
      <c r="M16" s="525"/>
      <c r="N16" s="725"/>
      <c r="O16" s="1334"/>
      <c r="P16" s="1331"/>
      <c r="Q16" s="1331"/>
      <c r="R16" s="1331"/>
      <c r="S16" s="1334"/>
      <c r="T16" s="1334"/>
      <c r="U16" s="1187"/>
      <c r="V16" s="1187"/>
      <c r="W16" s="1187"/>
      <c r="X16" s="1187"/>
      <c r="Y16" s="522"/>
      <c r="Z16" s="522"/>
      <c r="AA16" s="522"/>
      <c r="AB16" s="522"/>
      <c r="AC16" s="522"/>
      <c r="AD16" s="522"/>
      <c r="AE16" s="522"/>
      <c r="AF16" s="522"/>
      <c r="AG16" s="522"/>
      <c r="AH16" s="522"/>
      <c r="AI16" s="522"/>
      <c r="AJ16" s="522"/>
      <c r="AK16" s="522"/>
      <c r="AL16" s="522"/>
    </row>
    <row r="17" spans="1:14" ht="15" customHeight="1">
      <c r="A17" s="526"/>
      <c r="B17" s="57"/>
      <c r="C17" s="719"/>
      <c r="D17" s="350"/>
      <c r="E17" s="492" t="s">
        <v>126</v>
      </c>
      <c r="F17" s="95"/>
      <c r="G17" s="95"/>
      <c r="H17" s="95"/>
      <c r="I17" s="95"/>
      <c r="J17" s="95"/>
      <c r="K17" s="95" t="s">
        <v>18</v>
      </c>
      <c r="L17" s="95"/>
      <c r="M17" s="525"/>
      <c r="N17" s="1544"/>
    </row>
  </sheetData>
  <sheetProtection formatColumns="0" formatRows="0" insertRows="0" deleteColumns="0" deleteRows="0" sort="0" autoFilter="0"/>
  <mergeCells count="19">
    <mergeCell ref="I13:I15"/>
    <mergeCell ref="J13:J15"/>
    <mergeCell ref="D13:D16"/>
    <mergeCell ref="E13:E16"/>
    <mergeCell ref="F13:F16"/>
    <mergeCell ref="G13:G15"/>
    <mergeCell ref="H13:H15"/>
    <mergeCell ref="G11:H11"/>
    <mergeCell ref="K11:L11"/>
    <mergeCell ref="D4:I4"/>
    <mergeCell ref="D5:I5"/>
    <mergeCell ref="A6:F6"/>
    <mergeCell ref="A9:A10"/>
    <mergeCell ref="D9:E9"/>
    <mergeCell ref="F9:I9"/>
    <mergeCell ref="E7:M7"/>
    <mergeCell ref="J9:M9"/>
    <mergeCell ref="G10:H10"/>
    <mergeCell ref="K10:L10"/>
  </mergeCells>
  <dataValidations count="3">
    <dataValidation type="textLength" operator="lessThan" allowBlank="1" showInputMessage="1" showErrorMessage="1" error="Допускается ввод не более 900 символов!" sqref="M13">
      <formula1>900</formula1>
    </dataValidation>
    <dataValidation type="list" allowBlank="1" showInputMessage="1" showErrorMessage="1" sqref="I14">
      <formula1>DESCRIPTION_TERRITORY</formula1>
    </dataValidation>
    <dataValidation type="textLength" operator="lessThanOrEqual" allowBlank="1" showInputMessage="1" showErrorMessage="1" errorTitle="Ошибка" error="Допускается ввод не более 900 символов!" sqref="M14">
      <formula1>900</formula1>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CCFF"/>
  </sheetPr>
  <dimension ref="A1:AR130"/>
  <sheetViews>
    <sheetView showGridLines="0" topLeftCell="C4" zoomScale="90" workbookViewId="0"/>
  </sheetViews>
  <sheetFormatPr defaultColWidth="9.140625" defaultRowHeight="11.25" customHeight="1"/>
  <cols>
    <col min="1" max="2" width="3.7109375" style="1541" hidden="1" customWidth="1"/>
    <col min="3" max="3" width="3.7109375" style="1773" customWidth="1"/>
    <col min="4" max="4" width="6.140625" style="1773" customWidth="1"/>
    <col min="5" max="5" width="43.140625" style="1773" customWidth="1"/>
    <col min="6" max="6" width="15" style="1773" customWidth="1"/>
    <col min="7" max="7" width="43.140625" style="1773" customWidth="1"/>
    <col min="8" max="8" width="3.7109375" style="1773" customWidth="1"/>
    <col min="9" max="9" width="5.42578125" style="1773" customWidth="1"/>
    <col min="10" max="10" width="47.85546875" style="1773" customWidth="1"/>
    <col min="11" max="12" width="3.7109375" style="1773" customWidth="1"/>
    <col min="13" max="13" width="5.7109375" style="1773" customWidth="1"/>
    <col min="14" max="14" width="28.140625" style="1773" customWidth="1"/>
    <col min="15" max="16" width="3.7109375" style="1773" customWidth="1"/>
    <col min="17" max="17" width="5.7109375" style="1773" customWidth="1"/>
    <col min="18" max="18" width="34.42578125" style="1773" customWidth="1"/>
    <col min="19" max="20" width="3.7109375" style="1773" hidden="1" customWidth="1"/>
    <col min="21" max="21" width="5.7109375" style="1773" hidden="1" customWidth="1"/>
    <col min="22" max="22" width="34.42578125" style="1773" hidden="1" customWidth="1"/>
    <col min="23" max="23" width="30.7109375" style="1773" customWidth="1"/>
    <col min="24" max="24" width="3.7109375" style="1773" customWidth="1"/>
    <col min="25" max="28" width="9.85546875" style="1187" hidden="1" customWidth="1"/>
    <col min="29" max="29" width="27" style="1187" hidden="1" customWidth="1"/>
    <col min="30" max="30" width="10.5703125" style="1187" hidden="1" customWidth="1"/>
    <col min="31" max="31" width="10.7109375" style="1187" hidden="1" customWidth="1"/>
    <col min="32" max="32" width="10" style="1187" hidden="1" customWidth="1"/>
    <col min="33" max="33" width="12.85546875" style="1187" hidden="1" customWidth="1"/>
    <col min="34" max="34" width="10.28515625" style="1187" hidden="1" customWidth="1"/>
    <col min="35" max="35" width="15.85546875" style="1187" hidden="1" customWidth="1"/>
    <col min="36" max="36" width="19.42578125" style="1187" hidden="1" customWidth="1"/>
    <col min="37" max="37" width="11" style="1187" hidden="1" customWidth="1"/>
    <col min="38" max="38" width="23.5703125" style="1187" hidden="1" customWidth="1"/>
    <col min="39" max="39" width="23.85546875" style="1187" hidden="1" customWidth="1"/>
    <col min="40" max="40" width="25.28515625" style="1187" hidden="1" customWidth="1"/>
    <col min="41" max="41" width="16.85546875" style="1187" hidden="1" customWidth="1"/>
    <col min="42" max="42" width="29.5703125" style="1187" hidden="1" customWidth="1"/>
    <col min="43" max="43" width="29.85546875" style="1187" hidden="1" customWidth="1"/>
    <col min="44" max="44" width="9.140625" style="1773" hidden="1"/>
  </cols>
  <sheetData>
    <row r="1" spans="1:43" ht="11.25" hidden="1" customHeight="1">
      <c r="A1" s="74"/>
    </row>
    <row r="2" spans="1:43" ht="11.25" hidden="1" customHeight="1"/>
    <row r="3" spans="1:43" ht="11.25" hidden="1" customHeight="1"/>
    <row r="4" spans="1:43" ht="3" customHeight="1"/>
    <row r="5" spans="1:43" s="508" customFormat="1" ht="39" customHeight="1">
      <c r="A5" s="72"/>
      <c r="B5" s="72"/>
      <c r="D5" s="1867" t="str">
        <f>"Перечень тарифов и технологически не связанных между собой централизованных систем "&amp;TEMPLATE_SPHERE_RUS&amp;", в отношении которых предлагаются различные тарифы в сфере  "&amp;TEMPLATE_SPHERE_RUS&amp;IF(TEMPLATE_SPHERE="HEAT"," и горячего водоснабжения с использованием открытых систем "&amp;TEMPLATE_SPHERE_RUS,"")&amp;" (информация раскрывается отдельно по каждой системе  "&amp;TEMPLATE_SPHERE_RUS&amp;")"</f>
        <v>Перечень тарифов и технологически не связанных между собой централизованных систем холодного водоснабжения, в отношении которых предлагаются различные тарифы в сфере  холодного водоснабжения (информация раскрывается отдельно по каждой системе  холодного водоснабжения)</v>
      </c>
      <c r="E5" s="1868"/>
      <c r="F5" s="1868"/>
      <c r="G5" s="1868"/>
      <c r="H5" s="1868"/>
      <c r="I5" s="1868"/>
      <c r="J5" s="1869"/>
      <c r="K5" s="180"/>
      <c r="L5" s="63"/>
      <c r="M5" s="63"/>
      <c r="N5" s="63"/>
      <c r="O5" s="63"/>
      <c r="P5" s="63"/>
      <c r="Q5" s="63"/>
      <c r="R5" s="63"/>
      <c r="S5" s="205"/>
      <c r="T5" s="205"/>
      <c r="U5" s="205"/>
      <c r="V5" s="205"/>
      <c r="W5" s="63"/>
      <c r="Y5" s="1182"/>
      <c r="Z5" s="1182"/>
      <c r="AA5" s="1182"/>
      <c r="AB5" s="1182"/>
      <c r="AC5" s="1182"/>
      <c r="AD5" s="1182"/>
      <c r="AE5" s="1182"/>
      <c r="AF5" s="1182"/>
      <c r="AG5" s="1182"/>
      <c r="AH5" s="1182"/>
      <c r="AI5" s="1182"/>
      <c r="AJ5" s="1182"/>
      <c r="AK5" s="1182"/>
      <c r="AL5" s="1182"/>
      <c r="AM5" s="1182"/>
      <c r="AN5" s="1182"/>
      <c r="AO5" s="1182"/>
      <c r="AP5" s="1182"/>
      <c r="AQ5" s="1182"/>
    </row>
    <row r="6" spans="1:43" s="508" customFormat="1" ht="15" customHeight="1">
      <c r="A6" s="505"/>
      <c r="B6" s="505"/>
      <c r="C6" s="505"/>
      <c r="D6" s="1925" t="str">
        <f>IF(org=0,"Не определено",org)</f>
        <v>АО СЗ "КМАпроектжилстрой"</v>
      </c>
      <c r="E6" s="1925"/>
      <c r="F6" s="1925"/>
      <c r="G6" s="1925"/>
      <c r="H6" s="1925"/>
      <c r="I6" s="1925"/>
      <c r="J6" s="1925"/>
      <c r="K6" s="506"/>
      <c r="L6" s="506"/>
      <c r="M6" s="506"/>
      <c r="N6" s="506"/>
      <c r="O6" s="783"/>
      <c r="P6" s="783"/>
      <c r="Q6" s="783"/>
      <c r="R6" s="783"/>
      <c r="S6" s="783"/>
      <c r="T6" s="783"/>
      <c r="U6" s="783"/>
      <c r="V6" s="783"/>
      <c r="W6" s="783"/>
      <c r="X6" s="506"/>
      <c r="Y6" s="1183"/>
      <c r="Z6" s="1183"/>
      <c r="AA6" s="1183"/>
      <c r="AB6" s="1183"/>
      <c r="AC6" s="1183"/>
      <c r="AD6" s="1183"/>
      <c r="AE6" s="1183"/>
      <c r="AF6" s="1183"/>
      <c r="AG6" s="1183"/>
      <c r="AH6" s="1183"/>
      <c r="AI6" s="1183"/>
      <c r="AJ6" s="1183"/>
      <c r="AK6" s="1183"/>
      <c r="AL6" s="1183"/>
      <c r="AM6" s="1183"/>
      <c r="AN6" s="1183"/>
      <c r="AO6" s="1183"/>
      <c r="AP6" s="1183"/>
      <c r="AQ6" s="1183"/>
    </row>
    <row r="7" spans="1:43" s="213" customFormat="1" ht="11.25" customHeight="1">
      <c r="A7" s="128"/>
      <c r="B7" s="128"/>
      <c r="D7" s="1922"/>
      <c r="E7" s="1923"/>
      <c r="F7" s="1923"/>
      <c r="G7" s="1923"/>
      <c r="H7" s="1923"/>
      <c r="I7" s="1923"/>
      <c r="J7" s="1924"/>
      <c r="Y7" s="1184"/>
      <c r="Z7" s="1184"/>
      <c r="AA7" s="1184"/>
      <c r="AB7" s="1184"/>
      <c r="AC7" s="1184"/>
      <c r="AD7" s="1184"/>
      <c r="AE7" s="1184"/>
      <c r="AF7" s="1184"/>
      <c r="AG7" s="1184"/>
      <c r="AH7" s="1184"/>
      <c r="AI7" s="1184"/>
      <c r="AJ7" s="1184"/>
      <c r="AK7" s="1184"/>
      <c r="AL7" s="1184"/>
      <c r="AM7" s="1184"/>
      <c r="AN7" s="1184"/>
      <c r="AO7" s="1184"/>
      <c r="AP7" s="1184"/>
      <c r="AQ7" s="1184"/>
    </row>
    <row r="8" spans="1:43" s="508" customFormat="1" ht="0.75" customHeight="1">
      <c r="A8" s="72"/>
      <c r="B8" s="72"/>
      <c r="D8" s="129"/>
      <c r="E8" s="129"/>
      <c r="F8" s="129"/>
      <c r="G8" s="129"/>
      <c r="H8" s="129"/>
      <c r="I8" s="129"/>
      <c r="J8" s="129"/>
      <c r="K8" s="129"/>
      <c r="L8" s="129"/>
      <c r="M8" s="129"/>
      <c r="N8" s="129"/>
      <c r="O8" s="129"/>
      <c r="P8" s="129"/>
      <c r="Q8" s="129"/>
      <c r="R8" s="129"/>
      <c r="S8" s="129"/>
      <c r="T8" s="129"/>
      <c r="U8" s="129"/>
      <c r="V8" s="129"/>
      <c r="W8" s="129"/>
      <c r="X8" s="54"/>
      <c r="Y8" s="1182"/>
      <c r="Z8" s="1182"/>
      <c r="AA8" s="1182"/>
      <c r="AB8" s="1182"/>
      <c r="AC8" s="1182"/>
      <c r="AD8" s="1182"/>
      <c r="AE8" s="1182"/>
      <c r="AF8" s="1182"/>
      <c r="AG8" s="1182"/>
      <c r="AH8" s="1182"/>
      <c r="AI8" s="1182"/>
      <c r="AJ8" s="1182"/>
      <c r="AK8" s="1182"/>
      <c r="AL8" s="1182"/>
      <c r="AM8" s="1182"/>
      <c r="AN8" s="1182"/>
      <c r="AO8" s="1182"/>
      <c r="AP8" s="1182"/>
      <c r="AQ8" s="1182"/>
    </row>
    <row r="9" spans="1:43" ht="27" customHeight="1">
      <c r="D9" s="1874" t="s">
        <v>88</v>
      </c>
      <c r="E9" s="1856" t="s">
        <v>127</v>
      </c>
      <c r="F9" s="1855"/>
      <c r="G9" s="1874" t="s">
        <v>105</v>
      </c>
      <c r="H9" s="1874" t="s">
        <v>88</v>
      </c>
      <c r="I9" s="1874"/>
      <c r="J9" s="1874" t="s">
        <v>128</v>
      </c>
      <c r="K9" s="1926" t="s">
        <v>129</v>
      </c>
      <c r="L9" s="1926"/>
      <c r="M9" s="1926"/>
      <c r="N9" s="1926"/>
      <c r="O9" s="1926" t="s">
        <v>130</v>
      </c>
      <c r="P9" s="1926"/>
      <c r="Q9" s="1926"/>
      <c r="R9" s="1926"/>
      <c r="S9" s="1926" t="s">
        <v>131</v>
      </c>
      <c r="T9" s="1926"/>
      <c r="U9" s="1926"/>
      <c r="V9" s="1926"/>
      <c r="W9" s="1874" t="s">
        <v>132</v>
      </c>
    </row>
    <row r="10" spans="1:43" ht="30" customHeight="1">
      <c r="D10" s="1874"/>
      <c r="E10" s="1205" t="s">
        <v>89</v>
      </c>
      <c r="F10" s="1205" t="s">
        <v>133</v>
      </c>
      <c r="G10" s="1874"/>
      <c r="H10" s="1874"/>
      <c r="I10" s="1874"/>
      <c r="J10" s="1874"/>
      <c r="K10" s="37" t="s">
        <v>108</v>
      </c>
      <c r="L10" s="1874" t="s">
        <v>88</v>
      </c>
      <c r="M10" s="1874"/>
      <c r="N10" s="37" t="s">
        <v>134</v>
      </c>
      <c r="O10" s="37" t="s">
        <v>108</v>
      </c>
      <c r="P10" s="1874" t="s">
        <v>88</v>
      </c>
      <c r="Q10" s="1874"/>
      <c r="R10" s="37" t="s">
        <v>134</v>
      </c>
      <c r="S10" s="198" t="s">
        <v>108</v>
      </c>
      <c r="T10" s="1874" t="s">
        <v>88</v>
      </c>
      <c r="U10" s="1874"/>
      <c r="V10" s="198" t="s">
        <v>89</v>
      </c>
      <c r="W10" s="1874"/>
      <c r="Z10" s="1181" t="s">
        <v>135</v>
      </c>
      <c r="AA10" s="1181" t="s">
        <v>136</v>
      </c>
      <c r="AB10" s="1181" t="s">
        <v>137</v>
      </c>
      <c r="AC10" s="1181" t="s">
        <v>138</v>
      </c>
      <c r="AD10" s="1181" t="s">
        <v>139</v>
      </c>
      <c r="AE10" s="1181" t="s">
        <v>140</v>
      </c>
      <c r="AF10" s="1181" t="s">
        <v>141</v>
      </c>
      <c r="AG10" s="1181" t="s">
        <v>142</v>
      </c>
      <c r="AH10" s="1181" t="s">
        <v>143</v>
      </c>
      <c r="AI10" s="1181" t="s">
        <v>144</v>
      </c>
      <c r="AJ10" s="1181" t="s">
        <v>145</v>
      </c>
      <c r="AK10" s="1181" t="s">
        <v>146</v>
      </c>
      <c r="AL10" s="1181" t="s">
        <v>147</v>
      </c>
      <c r="AM10" s="1181" t="s">
        <v>148</v>
      </c>
      <c r="AN10" s="1181" t="s">
        <v>149</v>
      </c>
      <c r="AO10" s="1181" t="s">
        <v>150</v>
      </c>
      <c r="AP10" s="1181" t="s">
        <v>151</v>
      </c>
      <c r="AQ10" s="1181" t="s">
        <v>152</v>
      </c>
    </row>
    <row r="11" spans="1:43" s="1541" customFormat="1" ht="12" hidden="1" customHeight="1">
      <c r="D11" s="1161" t="s">
        <v>109</v>
      </c>
      <c r="E11" s="1161" t="s">
        <v>110</v>
      </c>
      <c r="F11" s="1161"/>
      <c r="G11" s="1161" t="s">
        <v>90</v>
      </c>
      <c r="H11" s="1921" t="s">
        <v>111</v>
      </c>
      <c r="I11" s="1921"/>
      <c r="J11" s="1161" t="s">
        <v>92</v>
      </c>
      <c r="K11" s="1161" t="s">
        <v>93</v>
      </c>
      <c r="L11" s="1921" t="s">
        <v>112</v>
      </c>
      <c r="M11" s="1921"/>
      <c r="N11" s="1161" t="s">
        <v>153</v>
      </c>
      <c r="O11" s="1161" t="s">
        <v>154</v>
      </c>
      <c r="P11" s="1921" t="s">
        <v>155</v>
      </c>
      <c r="Q11" s="1921"/>
      <c r="R11" s="1161" t="s">
        <v>156</v>
      </c>
      <c r="S11" s="1161" t="s">
        <v>155</v>
      </c>
      <c r="T11" s="1921" t="s">
        <v>156</v>
      </c>
      <c r="U11" s="1921"/>
      <c r="V11" s="1161" t="s">
        <v>157</v>
      </c>
      <c r="W11" s="1161" t="s">
        <v>158</v>
      </c>
      <c r="Y11" s="1181"/>
      <c r="Z11" s="1181"/>
      <c r="AA11" s="1181"/>
      <c r="AB11" s="1181"/>
      <c r="AC11" s="1181"/>
      <c r="AD11" s="1181"/>
      <c r="AE11" s="1181"/>
      <c r="AF11" s="1181"/>
      <c r="AG11" s="1181"/>
      <c r="AH11" s="1181"/>
      <c r="AI11" s="1181"/>
      <c r="AJ11" s="1181"/>
      <c r="AK11" s="1181"/>
      <c r="AL11" s="1181"/>
      <c r="AM11" s="1181"/>
      <c r="AN11" s="1181"/>
      <c r="AO11" s="1181"/>
      <c r="AP11" s="1181"/>
      <c r="AQ11" s="1181"/>
    </row>
    <row r="12" spans="1:43" ht="14.25" hidden="1" customHeight="1">
      <c r="C12" s="126"/>
      <c r="D12" s="1204">
        <v>0</v>
      </c>
      <c r="E12" s="165"/>
      <c r="F12" s="165"/>
      <c r="G12" s="165"/>
      <c r="H12" s="166"/>
      <c r="I12" s="166"/>
      <c r="J12" s="76"/>
      <c r="K12" s="38"/>
      <c r="L12" s="76"/>
      <c r="M12" s="76"/>
      <c r="N12" s="167"/>
      <c r="O12" s="38"/>
      <c r="P12" s="76"/>
      <c r="Q12" s="76"/>
      <c r="R12" s="168"/>
      <c r="S12" s="199"/>
      <c r="T12" s="207"/>
      <c r="U12" s="207"/>
      <c r="V12" s="210"/>
      <c r="W12" s="38"/>
      <c r="X12" s="62"/>
    </row>
    <row r="13" spans="1:43" s="1773" customFormat="1" ht="17.25" hidden="1" customHeight="1">
      <c r="A13" s="240"/>
      <c r="C13" s="126"/>
      <c r="D13" s="1895">
        <v>1</v>
      </c>
      <c r="E13" s="1896" t="s">
        <v>159</v>
      </c>
      <c r="F13" s="1898" t="s">
        <v>57</v>
      </c>
      <c r="G13" s="1896"/>
      <c r="H13" s="1901"/>
      <c r="I13" s="1903"/>
      <c r="J13" s="1905"/>
      <c r="K13" s="1893"/>
      <c r="L13" s="1893"/>
      <c r="M13" s="1893"/>
      <c r="N13" s="1908"/>
      <c r="O13" s="1893"/>
      <c r="P13" s="1893"/>
      <c r="Q13" s="1893"/>
      <c r="R13" s="1911"/>
      <c r="S13" s="1893"/>
      <c r="T13" s="1337"/>
      <c r="U13" s="1337"/>
      <c r="V13" s="1336"/>
      <c r="W13" s="1217"/>
      <c r="Y13" s="1188"/>
      <c r="Z13" s="1188"/>
      <c r="AA13" s="1188"/>
      <c r="AB13" s="1188"/>
      <c r="AC13" s="1188" t="s">
        <v>160</v>
      </c>
      <c r="AD13" s="1188" t="s">
        <v>161</v>
      </c>
      <c r="AE13" s="1188" t="s">
        <v>162</v>
      </c>
      <c r="AF13" s="1188" t="s">
        <v>163</v>
      </c>
      <c r="AG13" s="1188" t="s">
        <v>164</v>
      </c>
      <c r="AH13" s="1188" t="str">
        <f>IF($E$13=0,"",$E$13)</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AI13" s="1188" t="str">
        <f>IF($G$13=0,"",$G$13)</f>
        <v/>
      </c>
      <c r="AJ13" s="1188" t="str">
        <f>IF($J$13=0,"",$J$13)</f>
        <v/>
      </c>
      <c r="AK13" s="1188" t="str">
        <f>IF($K$13="нет","без дифференциации",IF($N$13=0,"",$N$13))</f>
        <v/>
      </c>
      <c r="AL13" s="1188" t="str">
        <f>IF($O$13="нет","без дифференциации",IF($R$13=0,"",$R$13))</f>
        <v/>
      </c>
      <c r="AM13" s="1188" t="str">
        <f>IF($S$13="нет","без дифференциации",IF($V$13=0,"",$V$13))</f>
        <v/>
      </c>
      <c r="AN13" s="1188">
        <f>$I$13</f>
        <v>0</v>
      </c>
      <c r="AO13" s="1188" t="str">
        <f>$I$13&amp;"."&amp;$M$13</f>
        <v>.</v>
      </c>
      <c r="AP13" s="1188" t="str">
        <f>$I$13&amp;"."&amp;$M$13&amp;"."&amp;$Q$13</f>
        <v>..</v>
      </c>
      <c r="AQ13" s="1188" t="str">
        <f>$I$13&amp;"."&amp;$M$13&amp;"."&amp;$Q$13&amp;"."&amp;$U$13</f>
        <v>...</v>
      </c>
    </row>
    <row r="14" spans="1:43" s="1773" customFormat="1" ht="17.25" hidden="1" customHeight="1">
      <c r="A14" s="240"/>
      <c r="C14" s="239"/>
      <c r="D14" s="1895"/>
      <c r="E14" s="1896"/>
      <c r="F14" s="1899"/>
      <c r="G14" s="1896"/>
      <c r="H14" s="1902"/>
      <c r="I14" s="1904"/>
      <c r="J14" s="1906"/>
      <c r="K14" s="1894"/>
      <c r="L14" s="1894"/>
      <c r="M14" s="1894"/>
      <c r="N14" s="1909"/>
      <c r="O14" s="1894"/>
      <c r="P14" s="1894"/>
      <c r="Q14" s="1894"/>
      <c r="R14" s="1910"/>
      <c r="S14" s="1894"/>
      <c r="T14" s="1218"/>
      <c r="U14" s="1218"/>
      <c r="V14" s="1218"/>
      <c r="W14" s="1219"/>
      <c r="Y14" s="1181"/>
      <c r="Z14" s="1181"/>
      <c r="AA14" s="1181"/>
      <c r="AB14" s="1181"/>
      <c r="AC14" s="1181"/>
      <c r="AD14" s="1181"/>
      <c r="AE14" s="1181"/>
      <c r="AF14" s="1181"/>
      <c r="AG14" s="1181"/>
      <c r="AH14" s="1181"/>
      <c r="AI14" s="1181"/>
      <c r="AJ14" s="1181"/>
      <c r="AK14" s="1181"/>
      <c r="AL14" s="1181"/>
      <c r="AM14" s="1181"/>
      <c r="AN14" s="1181"/>
      <c r="AO14" s="1181"/>
      <c r="AP14" s="1181"/>
      <c r="AQ14" s="1181"/>
    </row>
    <row r="15" spans="1:43" s="1773" customFormat="1" ht="17.25" hidden="1" customHeight="1">
      <c r="A15" s="240"/>
      <c r="C15" s="126"/>
      <c r="D15" s="1895"/>
      <c r="E15" s="1896"/>
      <c r="F15" s="1899"/>
      <c r="G15" s="1896"/>
      <c r="H15" s="1902"/>
      <c r="I15" s="1904"/>
      <c r="J15" s="1907"/>
      <c r="K15" s="1894"/>
      <c r="L15" s="1894"/>
      <c r="M15" s="1894"/>
      <c r="N15" s="1910"/>
      <c r="O15" s="1894"/>
      <c r="P15" s="1335"/>
      <c r="Q15" s="1218"/>
      <c r="R15" s="1218"/>
      <c r="S15" s="251"/>
      <c r="T15" s="251"/>
      <c r="U15" s="251"/>
      <c r="V15" s="251"/>
      <c r="W15" s="1219"/>
      <c r="Y15" s="1188"/>
      <c r="Z15" s="1188"/>
      <c r="AA15" s="1188"/>
      <c r="AB15" s="1188"/>
      <c r="AC15" s="1188"/>
      <c r="AD15" s="1188"/>
      <c r="AE15" s="1188"/>
      <c r="AF15" s="1188"/>
      <c r="AG15" s="1188"/>
      <c r="AH15" s="1188"/>
      <c r="AI15" s="1188"/>
      <c r="AJ15" s="1188"/>
      <c r="AK15" s="1188"/>
      <c r="AL15" s="1188"/>
      <c r="AM15" s="1188"/>
      <c r="AN15" s="1188"/>
      <c r="AO15" s="1188"/>
      <c r="AP15" s="1188"/>
      <c r="AQ15" s="1188"/>
    </row>
    <row r="16" spans="1:43" s="1773" customFormat="1" ht="17.25" hidden="1" customHeight="1">
      <c r="A16" s="240"/>
      <c r="C16" s="239"/>
      <c r="D16" s="1895"/>
      <c r="E16" s="1896"/>
      <c r="F16" s="1899"/>
      <c r="G16" s="1896"/>
      <c r="H16" s="1902"/>
      <c r="I16" s="1904"/>
      <c r="J16" s="1907"/>
      <c r="K16" s="1894"/>
      <c r="L16" s="1218"/>
      <c r="M16" s="1218"/>
      <c r="N16" s="1218"/>
      <c r="O16" s="1218"/>
      <c r="P16" s="1218"/>
      <c r="Q16" s="1218"/>
      <c r="R16" s="1218"/>
      <c r="S16" s="251"/>
      <c r="T16" s="251"/>
      <c r="U16" s="251"/>
      <c r="V16" s="251"/>
      <c r="W16" s="1219"/>
      <c r="Y16" s="1181"/>
      <c r="Z16" s="1181"/>
      <c r="AA16" s="1181"/>
      <c r="AB16" s="1181"/>
      <c r="AC16" s="1181"/>
      <c r="AD16" s="1181"/>
      <c r="AE16" s="1181"/>
      <c r="AF16" s="1181"/>
      <c r="AG16" s="1181"/>
      <c r="AH16" s="1181"/>
      <c r="AI16" s="1181"/>
      <c r="AJ16" s="1181"/>
      <c r="AK16" s="1181"/>
      <c r="AL16" s="1181"/>
      <c r="AM16" s="1181"/>
      <c r="AN16" s="1181"/>
      <c r="AO16" s="1181"/>
      <c r="AP16" s="1181"/>
      <c r="AQ16" s="1181"/>
    </row>
    <row r="17" spans="1:43" s="1773" customFormat="1" ht="17.25" hidden="1" customHeight="1">
      <c r="A17" s="240"/>
      <c r="C17" s="239"/>
      <c r="D17" s="1883"/>
      <c r="E17" s="1897"/>
      <c r="F17" s="1900"/>
      <c r="G17" s="1897"/>
      <c r="H17" s="1220"/>
      <c r="I17" s="1221"/>
      <c r="J17" s="1221"/>
      <c r="K17" s="1221"/>
      <c r="L17" s="1221"/>
      <c r="M17" s="1221"/>
      <c r="N17" s="1221"/>
      <c r="O17" s="1221"/>
      <c r="P17" s="1221"/>
      <c r="Q17" s="1221"/>
      <c r="R17" s="1221"/>
      <c r="S17" s="1222"/>
      <c r="T17" s="1222"/>
      <c r="U17" s="1222"/>
      <c r="V17" s="1222"/>
      <c r="W17" s="1223"/>
      <c r="Y17" s="1181"/>
      <c r="Z17" s="1181"/>
      <c r="AA17" s="1181"/>
      <c r="AB17" s="1181"/>
      <c r="AC17" s="1181"/>
      <c r="AD17" s="1181"/>
      <c r="AE17" s="1181"/>
      <c r="AF17" s="1181"/>
      <c r="AG17" s="1181"/>
      <c r="AH17" s="1181"/>
      <c r="AI17" s="1181"/>
      <c r="AJ17" s="1181"/>
      <c r="AK17" s="1181"/>
      <c r="AL17" s="1181"/>
      <c r="AM17" s="1181"/>
      <c r="AN17" s="1181"/>
      <c r="AO17" s="1181"/>
      <c r="AP17" s="1181"/>
      <c r="AQ17" s="1181"/>
    </row>
    <row r="18" spans="1:43" s="1773" customFormat="1" ht="17.25" hidden="1" customHeight="1">
      <c r="A18" s="240"/>
      <c r="C18" s="126"/>
      <c r="D18" s="1895">
        <v>2</v>
      </c>
      <c r="E18" s="1896" t="s">
        <v>165</v>
      </c>
      <c r="F18" s="1898" t="s">
        <v>57</v>
      </c>
      <c r="G18" s="1896"/>
      <c r="H18" s="1901"/>
      <c r="I18" s="1903"/>
      <c r="J18" s="1905"/>
      <c r="K18" s="1893"/>
      <c r="L18" s="1893"/>
      <c r="M18" s="1893"/>
      <c r="N18" s="1908"/>
      <c r="O18" s="1893"/>
      <c r="P18" s="1893"/>
      <c r="Q18" s="1893"/>
      <c r="R18" s="1911"/>
      <c r="S18" s="1893"/>
      <c r="T18" s="1337"/>
      <c r="U18" s="1337"/>
      <c r="V18" s="1336"/>
      <c r="W18" s="1217"/>
      <c r="X18" s="1188"/>
      <c r="Y18" s="1188"/>
      <c r="Z18" s="1188"/>
      <c r="AA18" s="1188"/>
      <c r="AB18" s="1188"/>
      <c r="AC18" s="1188" t="s">
        <v>166</v>
      </c>
      <c r="AD18" s="1188" t="s">
        <v>167</v>
      </c>
      <c r="AE18" s="1188" t="s">
        <v>168</v>
      </c>
      <c r="AF18" s="1188" t="s">
        <v>169</v>
      </c>
      <c r="AG18" s="1188" t="s">
        <v>170</v>
      </c>
      <c r="AH18" s="1188" t="str">
        <f>IF($E$18=0,"",$E$18)</f>
        <v>Тарифы на тепловую энергию (мощность), поставляемую теплоснабжающими организациями потребителям, другим теплоснабжающим организациям</v>
      </c>
      <c r="AI18" s="1188" t="str">
        <f>IF($G$18=0,"",$G$18)</f>
        <v/>
      </c>
      <c r="AJ18" s="1188" t="str">
        <f>IF($J$18=0,"",$J$18)</f>
        <v/>
      </c>
      <c r="AK18" s="1188" t="str">
        <f>IF($K$18="нет","без дифференциации",IF($N$18=0,"",$N$18))</f>
        <v/>
      </c>
      <c r="AL18" s="1188" t="str">
        <f>IF($O$18="нет","без дифференциации",IF($R$18=0,"",$R$18))</f>
        <v/>
      </c>
      <c r="AM18" s="1188" t="str">
        <f>IF($S$18="нет","без дифференциации",IF($V$18=0,"",$V$18))</f>
        <v/>
      </c>
      <c r="AN18" s="1691">
        <f>$I$18</f>
        <v>0</v>
      </c>
      <c r="AO18" s="1188" t="str">
        <f>$I$18&amp;"."&amp;$M$18</f>
        <v>.</v>
      </c>
      <c r="AP18" s="1181" t="str">
        <f>$I$18&amp;"."&amp;$M$18&amp;"."&amp;$Q$18</f>
        <v>..</v>
      </c>
      <c r="AQ18" s="1181" t="str">
        <f>$I$18&amp;"."&amp;$M$18&amp;"."&amp;$Q$18&amp;"."&amp;$U$18</f>
        <v>...</v>
      </c>
    </row>
    <row r="19" spans="1:43" s="1773" customFormat="1" ht="17.25" hidden="1" customHeight="1">
      <c r="A19" s="240"/>
      <c r="C19" s="239"/>
      <c r="D19" s="1895"/>
      <c r="E19" s="1896"/>
      <c r="F19" s="1899"/>
      <c r="G19" s="1896"/>
      <c r="H19" s="1902"/>
      <c r="I19" s="1904"/>
      <c r="J19" s="1906"/>
      <c r="K19" s="1894"/>
      <c r="L19" s="1894"/>
      <c r="M19" s="1894"/>
      <c r="N19" s="1909"/>
      <c r="O19" s="1894"/>
      <c r="P19" s="1894"/>
      <c r="Q19" s="1894"/>
      <c r="R19" s="1910"/>
      <c r="S19" s="1894"/>
      <c r="T19" s="1218"/>
      <c r="U19" s="1218"/>
      <c r="V19" s="1218"/>
      <c r="W19" s="1219"/>
      <c r="X19" s="1181"/>
      <c r="Y19" s="1181"/>
      <c r="Z19" s="1181"/>
      <c r="AA19" s="1181"/>
      <c r="AB19" s="1181"/>
      <c r="AC19" s="1181"/>
      <c r="AD19" s="1181"/>
      <c r="AE19" s="1181"/>
      <c r="AF19" s="1181"/>
      <c r="AG19" s="1181"/>
      <c r="AH19" s="1181"/>
      <c r="AI19" s="1181"/>
      <c r="AJ19" s="1181"/>
      <c r="AK19" s="1181"/>
      <c r="AL19" s="1181"/>
      <c r="AM19" s="1181"/>
      <c r="AN19" s="1181"/>
      <c r="AO19" s="1181"/>
      <c r="AP19" s="1181"/>
      <c r="AQ19" s="1181"/>
    </row>
    <row r="20" spans="1:43" s="1773" customFormat="1" ht="17.25" hidden="1" customHeight="1">
      <c r="A20" s="240"/>
      <c r="C20" s="239"/>
      <c r="D20" s="1883"/>
      <c r="E20" s="1897"/>
      <c r="F20" s="1899"/>
      <c r="G20" s="1897"/>
      <c r="H20" s="1902"/>
      <c r="I20" s="1904"/>
      <c r="J20" s="1907"/>
      <c r="K20" s="1894"/>
      <c r="L20" s="1894"/>
      <c r="M20" s="1894"/>
      <c r="N20" s="1910"/>
      <c r="O20" s="1894"/>
      <c r="P20" s="1335"/>
      <c r="Q20" s="1218"/>
      <c r="R20" s="1218"/>
      <c r="S20" s="251"/>
      <c r="T20" s="251"/>
      <c r="U20" s="251"/>
      <c r="V20" s="251"/>
      <c r="W20" s="1219"/>
      <c r="X20" s="1181"/>
      <c r="Y20" s="1181"/>
      <c r="Z20" s="1181"/>
      <c r="AA20" s="1181"/>
      <c r="AB20" s="1181"/>
      <c r="AC20" s="1181"/>
      <c r="AD20" s="1181"/>
      <c r="AE20" s="1181"/>
      <c r="AF20" s="1181"/>
      <c r="AG20" s="1181"/>
      <c r="AH20" s="1181"/>
      <c r="AI20" s="1181"/>
      <c r="AJ20" s="1181"/>
      <c r="AK20" s="1181"/>
      <c r="AL20" s="1181"/>
      <c r="AM20" s="1181"/>
      <c r="AN20" s="1181"/>
      <c r="AO20" s="1181"/>
      <c r="AP20" s="1181"/>
      <c r="AQ20" s="1181"/>
    </row>
    <row r="21" spans="1:43" s="1773" customFormat="1" ht="17.25" hidden="1" customHeight="1">
      <c r="A21" s="240"/>
      <c r="C21" s="239"/>
      <c r="D21" s="1883"/>
      <c r="E21" s="1897"/>
      <c r="F21" s="1899"/>
      <c r="G21" s="1897"/>
      <c r="H21" s="1902"/>
      <c r="I21" s="1904"/>
      <c r="J21" s="1907"/>
      <c r="K21" s="1894"/>
      <c r="L21" s="1218"/>
      <c r="M21" s="1218"/>
      <c r="N21" s="1218"/>
      <c r="O21" s="1218"/>
      <c r="P21" s="1218"/>
      <c r="Q21" s="1218"/>
      <c r="R21" s="1218"/>
      <c r="S21" s="251"/>
      <c r="T21" s="251"/>
      <c r="U21" s="251"/>
      <c r="V21" s="251"/>
      <c r="W21" s="1219"/>
      <c r="X21" s="1181"/>
      <c r="Y21" s="1181"/>
      <c r="Z21" s="1181"/>
      <c r="AA21" s="1181"/>
      <c r="AB21" s="1181"/>
      <c r="AC21" s="1181"/>
      <c r="AD21" s="1181"/>
      <c r="AE21" s="1181"/>
      <c r="AF21" s="1181"/>
      <c r="AG21" s="1181"/>
      <c r="AH21" s="1181"/>
      <c r="AI21" s="1181"/>
      <c r="AJ21" s="1181"/>
      <c r="AK21" s="1181"/>
      <c r="AL21" s="1181"/>
      <c r="AM21" s="1181"/>
      <c r="AN21" s="1181"/>
      <c r="AO21" s="1181"/>
      <c r="AP21" s="1181"/>
      <c r="AQ21" s="1181"/>
    </row>
    <row r="22" spans="1:43" s="1773" customFormat="1" ht="17.25" hidden="1" customHeight="1">
      <c r="A22" s="240"/>
      <c r="C22" s="239"/>
      <c r="D22" s="1883"/>
      <c r="E22" s="1897"/>
      <c r="F22" s="1900"/>
      <c r="G22" s="1897"/>
      <c r="H22" s="1220"/>
      <c r="I22" s="1221"/>
      <c r="J22" s="1221"/>
      <c r="K22" s="1221"/>
      <c r="L22" s="1221"/>
      <c r="M22" s="1221"/>
      <c r="N22" s="1221"/>
      <c r="O22" s="1221"/>
      <c r="P22" s="1221"/>
      <c r="Q22" s="1221"/>
      <c r="R22" s="1221"/>
      <c r="S22" s="1222"/>
      <c r="T22" s="1222"/>
      <c r="U22" s="1222"/>
      <c r="V22" s="1222"/>
      <c r="W22" s="1223"/>
      <c r="X22" s="1181"/>
      <c r="Y22" s="1181"/>
      <c r="Z22" s="1181"/>
      <c r="AA22" s="1181"/>
      <c r="AB22" s="1181"/>
      <c r="AC22" s="1181"/>
      <c r="AD22" s="1181"/>
      <c r="AE22" s="1181"/>
      <c r="AF22" s="1181"/>
      <c r="AG22" s="1181"/>
      <c r="AH22" s="1181"/>
      <c r="AI22" s="1181"/>
      <c r="AJ22" s="1181"/>
      <c r="AK22" s="1181"/>
      <c r="AL22" s="1181"/>
      <c r="AM22" s="1181"/>
      <c r="AN22" s="1181"/>
      <c r="AO22" s="1181"/>
      <c r="AP22" s="1181"/>
      <c r="AQ22" s="1181"/>
    </row>
    <row r="23" spans="1:43" s="1773" customFormat="1" ht="17.25" hidden="1" customHeight="1">
      <c r="A23" s="240"/>
      <c r="C23" s="126"/>
      <c r="D23" s="1895">
        <v>3</v>
      </c>
      <c r="E23" s="1896" t="s">
        <v>171</v>
      </c>
      <c r="F23" s="1898" t="s">
        <v>57</v>
      </c>
      <c r="G23" s="1896"/>
      <c r="H23" s="1901"/>
      <c r="I23" s="1903"/>
      <c r="J23" s="1905"/>
      <c r="K23" s="1893"/>
      <c r="L23" s="1893"/>
      <c r="M23" s="1893"/>
      <c r="N23" s="1908"/>
      <c r="O23" s="1893"/>
      <c r="P23" s="1893"/>
      <c r="Q23" s="1893"/>
      <c r="R23" s="1911"/>
      <c r="S23" s="1893"/>
      <c r="T23" s="1337"/>
      <c r="U23" s="1337"/>
      <c r="V23" s="1336"/>
      <c r="W23" s="1217"/>
      <c r="X23" s="1188"/>
      <c r="Y23" s="1188"/>
      <c r="Z23" s="1188"/>
      <c r="AA23" s="1188"/>
      <c r="AB23" s="1188"/>
      <c r="AC23" s="1188" t="s">
        <v>172</v>
      </c>
      <c r="AD23" s="1188" t="s">
        <v>173</v>
      </c>
      <c r="AE23" s="1188" t="s">
        <v>174</v>
      </c>
      <c r="AF23" s="1188" t="s">
        <v>175</v>
      </c>
      <c r="AG23" s="1188" t="s">
        <v>176</v>
      </c>
      <c r="AH23" s="1188" t="str">
        <f>IF($E$23=0,"",$E$23)</f>
        <v>Тарифы на теплоноситель, поставляемый теплоснабжающими организациями потребителям, другим теплоснабжающим организациям</v>
      </c>
      <c r="AI23" s="1188" t="str">
        <f>IF($G$23=0,"",$G$23)</f>
        <v/>
      </c>
      <c r="AJ23" s="1188" t="str">
        <f>IF($J$23=0,"",$J$23)</f>
        <v/>
      </c>
      <c r="AK23" s="1188" t="str">
        <f>IF($K$23="нет","без дифференциации",IF($N$23=0,"",$N$23))</f>
        <v/>
      </c>
      <c r="AL23" s="1188" t="str">
        <f>IF($O$23="нет","без дифференциации",IF($R$23=0,"",$R$23))</f>
        <v/>
      </c>
      <c r="AM23" s="1188" t="str">
        <f>IF($S$23="нет","без дифференциации",IF($V$23=0,"",$V$23))</f>
        <v/>
      </c>
      <c r="AN23" s="1691">
        <f>$I$23</f>
        <v>0</v>
      </c>
      <c r="AO23" s="1188" t="str">
        <f>$I$23&amp;"."&amp;$M$23</f>
        <v>.</v>
      </c>
      <c r="AP23" s="1181" t="str">
        <f>$I$23&amp;"."&amp;$M$23&amp;"."&amp;$Q$23</f>
        <v>..</v>
      </c>
      <c r="AQ23" s="1181" t="str">
        <f>$I$23&amp;"."&amp;$M$23&amp;"."&amp;$Q$23&amp;"."&amp;$U$23</f>
        <v>...</v>
      </c>
    </row>
    <row r="24" spans="1:43" s="1773" customFormat="1" ht="17.25" hidden="1" customHeight="1">
      <c r="A24" s="240"/>
      <c r="C24" s="239"/>
      <c r="D24" s="1895"/>
      <c r="E24" s="1896"/>
      <c r="F24" s="1899"/>
      <c r="G24" s="1896"/>
      <c r="H24" s="1902"/>
      <c r="I24" s="1904"/>
      <c r="J24" s="1906"/>
      <c r="K24" s="1894"/>
      <c r="L24" s="1894"/>
      <c r="M24" s="1894"/>
      <c r="N24" s="1909"/>
      <c r="O24" s="1894"/>
      <c r="P24" s="1894"/>
      <c r="Q24" s="1894"/>
      <c r="R24" s="1910"/>
      <c r="S24" s="1894"/>
      <c r="T24" s="1218"/>
      <c r="U24" s="1218"/>
      <c r="V24" s="1218"/>
      <c r="W24" s="1219"/>
      <c r="X24" s="1181"/>
      <c r="Y24" s="1181"/>
      <c r="Z24" s="1181"/>
      <c r="AA24" s="1181"/>
      <c r="AB24" s="1181"/>
      <c r="AC24" s="1181"/>
      <c r="AD24" s="1181"/>
      <c r="AE24" s="1181"/>
      <c r="AF24" s="1181"/>
      <c r="AG24" s="1181"/>
      <c r="AH24" s="1181"/>
      <c r="AI24" s="1181"/>
      <c r="AJ24" s="1181"/>
      <c r="AK24" s="1181"/>
      <c r="AL24" s="1181"/>
      <c r="AM24" s="1181"/>
      <c r="AN24" s="1181"/>
      <c r="AO24" s="1181"/>
      <c r="AP24" s="1181"/>
      <c r="AQ24" s="1181"/>
    </row>
    <row r="25" spans="1:43" s="1773" customFormat="1" ht="17.25" hidden="1" customHeight="1">
      <c r="A25" s="240"/>
      <c r="C25" s="239"/>
      <c r="D25" s="1883"/>
      <c r="E25" s="1897"/>
      <c r="F25" s="1899"/>
      <c r="G25" s="1897"/>
      <c r="H25" s="1902"/>
      <c r="I25" s="1904"/>
      <c r="J25" s="1907"/>
      <c r="K25" s="1894"/>
      <c r="L25" s="1894"/>
      <c r="M25" s="1894"/>
      <c r="N25" s="1910"/>
      <c r="O25" s="1894"/>
      <c r="P25" s="1335"/>
      <c r="Q25" s="1218"/>
      <c r="R25" s="1218"/>
      <c r="S25" s="251"/>
      <c r="T25" s="251"/>
      <c r="U25" s="251"/>
      <c r="V25" s="251"/>
      <c r="W25" s="1219"/>
      <c r="X25" s="1181"/>
      <c r="Y25" s="1181"/>
      <c r="Z25" s="1181"/>
      <c r="AA25" s="1181"/>
      <c r="AB25" s="1181"/>
      <c r="AC25" s="1181"/>
      <c r="AD25" s="1181"/>
      <c r="AE25" s="1181"/>
      <c r="AF25" s="1181"/>
      <c r="AG25" s="1181"/>
      <c r="AH25" s="1181"/>
      <c r="AI25" s="1181"/>
      <c r="AJ25" s="1181"/>
      <c r="AK25" s="1181"/>
      <c r="AL25" s="1181"/>
      <c r="AM25" s="1181"/>
      <c r="AN25" s="1181"/>
      <c r="AO25" s="1181"/>
      <c r="AP25" s="1181"/>
      <c r="AQ25" s="1181"/>
    </row>
    <row r="26" spans="1:43" s="1773" customFormat="1" ht="17.25" hidden="1" customHeight="1">
      <c r="A26" s="240"/>
      <c r="C26" s="239"/>
      <c r="D26" s="1883"/>
      <c r="E26" s="1897"/>
      <c r="F26" s="1899"/>
      <c r="G26" s="1897"/>
      <c r="H26" s="1902"/>
      <c r="I26" s="1904"/>
      <c r="J26" s="1907"/>
      <c r="K26" s="1894"/>
      <c r="L26" s="1218"/>
      <c r="M26" s="1218"/>
      <c r="N26" s="1218"/>
      <c r="O26" s="1218"/>
      <c r="P26" s="1218"/>
      <c r="Q26" s="1218"/>
      <c r="R26" s="1218"/>
      <c r="S26" s="251"/>
      <c r="T26" s="251"/>
      <c r="U26" s="251"/>
      <c r="V26" s="251"/>
      <c r="W26" s="1219"/>
      <c r="X26" s="1181"/>
      <c r="Y26" s="1181"/>
      <c r="Z26" s="1181"/>
      <c r="AA26" s="1181"/>
      <c r="AB26" s="1181"/>
      <c r="AC26" s="1181"/>
      <c r="AD26" s="1181"/>
      <c r="AE26" s="1181"/>
      <c r="AF26" s="1181"/>
      <c r="AG26" s="1181"/>
      <c r="AH26" s="1181"/>
      <c r="AI26" s="1181"/>
      <c r="AJ26" s="1181"/>
      <c r="AK26" s="1181"/>
      <c r="AL26" s="1181"/>
      <c r="AM26" s="1181"/>
      <c r="AN26" s="1181"/>
      <c r="AO26" s="1181"/>
      <c r="AP26" s="1181"/>
      <c r="AQ26" s="1181"/>
    </row>
    <row r="27" spans="1:43" s="1773" customFormat="1" ht="17.25" hidden="1" customHeight="1">
      <c r="A27" s="240"/>
      <c r="C27" s="239"/>
      <c r="D27" s="1883"/>
      <c r="E27" s="1897"/>
      <c r="F27" s="1900"/>
      <c r="G27" s="1897"/>
      <c r="H27" s="1220"/>
      <c r="I27" s="1221"/>
      <c r="J27" s="1221"/>
      <c r="K27" s="1221"/>
      <c r="L27" s="1221"/>
      <c r="M27" s="1221"/>
      <c r="N27" s="1221"/>
      <c r="O27" s="1221"/>
      <c r="P27" s="1221"/>
      <c r="Q27" s="1221"/>
      <c r="R27" s="1221"/>
      <c r="S27" s="1222"/>
      <c r="T27" s="1222"/>
      <c r="U27" s="1222"/>
      <c r="V27" s="1222"/>
      <c r="W27" s="1223"/>
      <c r="X27" s="1181"/>
      <c r="Y27" s="1181"/>
      <c r="Z27" s="1181"/>
      <c r="AA27" s="1181"/>
      <c r="AB27" s="1181"/>
      <c r="AC27" s="1181"/>
      <c r="AD27" s="1181"/>
      <c r="AE27" s="1181"/>
      <c r="AF27" s="1181"/>
      <c r="AG27" s="1181"/>
      <c r="AH27" s="1181"/>
      <c r="AI27" s="1181"/>
      <c r="AJ27" s="1181"/>
      <c r="AK27" s="1181"/>
      <c r="AL27" s="1181"/>
      <c r="AM27" s="1181"/>
      <c r="AN27" s="1181"/>
      <c r="AO27" s="1181"/>
      <c r="AP27" s="1181"/>
      <c r="AQ27" s="1181"/>
    </row>
    <row r="28" spans="1:43" s="1773" customFormat="1" ht="17.25" hidden="1" customHeight="1">
      <c r="A28" s="240"/>
      <c r="C28" s="126"/>
      <c r="D28" s="1895">
        <v>4</v>
      </c>
      <c r="E28" s="1896" t="s">
        <v>177</v>
      </c>
      <c r="F28" s="1898" t="s">
        <v>57</v>
      </c>
      <c r="G28" s="1896"/>
      <c r="H28" s="1901"/>
      <c r="I28" s="1903"/>
      <c r="J28" s="1905"/>
      <c r="K28" s="1893"/>
      <c r="L28" s="1893"/>
      <c r="M28" s="1893"/>
      <c r="N28" s="1908"/>
      <c r="O28" s="1893"/>
      <c r="P28" s="1893"/>
      <c r="Q28" s="1893"/>
      <c r="R28" s="1911"/>
      <c r="S28" s="1893"/>
      <c r="T28" s="1337"/>
      <c r="U28" s="1337"/>
      <c r="V28" s="1336"/>
      <c r="W28" s="1217"/>
      <c r="X28" s="1188"/>
      <c r="Y28" s="1188"/>
      <c r="Z28" s="1188"/>
      <c r="AA28" s="1188"/>
      <c r="AB28" s="1188"/>
      <c r="AC28" s="1188" t="s">
        <v>178</v>
      </c>
      <c r="AD28" s="1188" t="s">
        <v>179</v>
      </c>
      <c r="AE28" s="1188" t="s">
        <v>180</v>
      </c>
      <c r="AF28" s="1188" t="s">
        <v>181</v>
      </c>
      <c r="AG28" s="1188" t="s">
        <v>182</v>
      </c>
      <c r="AH28" s="1188" t="str">
        <f>IF($E$28=0,"",$E$28)</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AI28" s="1188" t="str">
        <f>IF($G$28=0,"",$G$28)</f>
        <v/>
      </c>
      <c r="AJ28" s="1188" t="str">
        <f>IF($J$28=0,"",$J$28)</f>
        <v/>
      </c>
      <c r="AK28" s="1188" t="str">
        <f>IF($K$28="нет","без дифференциации",IF($N$28=0,"",$N$28))</f>
        <v/>
      </c>
      <c r="AL28" s="1188" t="str">
        <f>IF($O$28="нет","без дифференциации",IF($R$28=0,"",$R$28))</f>
        <v/>
      </c>
      <c r="AM28" s="1188" t="str">
        <f>IF($S$28="нет","без дифференциации",IF($V$28=0,"",$V$28))</f>
        <v/>
      </c>
      <c r="AN28" s="1691">
        <f>$I$28</f>
        <v>0</v>
      </c>
      <c r="AO28" s="1188" t="str">
        <f>$I$28&amp;"."&amp;$M$28</f>
        <v>.</v>
      </c>
      <c r="AP28" s="1181" t="str">
        <f>$I$28&amp;"."&amp;$M$28&amp;"."&amp;$Q$28</f>
        <v>..</v>
      </c>
      <c r="AQ28" s="1181" t="str">
        <f>$I$28&amp;"."&amp;$M$28&amp;"."&amp;$Q$28&amp;"."&amp;$U$28</f>
        <v>...</v>
      </c>
    </row>
    <row r="29" spans="1:43" s="1773" customFormat="1" ht="17.25" hidden="1" customHeight="1">
      <c r="A29" s="240"/>
      <c r="C29" s="239"/>
      <c r="D29" s="1895"/>
      <c r="E29" s="1896"/>
      <c r="F29" s="1899"/>
      <c r="G29" s="1896"/>
      <c r="H29" s="1902"/>
      <c r="I29" s="1904"/>
      <c r="J29" s="1906"/>
      <c r="K29" s="1894"/>
      <c r="L29" s="1894"/>
      <c r="M29" s="1894"/>
      <c r="N29" s="1909"/>
      <c r="O29" s="1894"/>
      <c r="P29" s="1894"/>
      <c r="Q29" s="1894"/>
      <c r="R29" s="1910"/>
      <c r="S29" s="1894"/>
      <c r="T29" s="1218"/>
      <c r="U29" s="1218"/>
      <c r="V29" s="1218"/>
      <c r="W29" s="1219"/>
      <c r="X29" s="1181"/>
      <c r="Y29" s="1181"/>
      <c r="Z29" s="1181"/>
      <c r="AA29" s="1181"/>
      <c r="AB29" s="1181"/>
      <c r="AC29" s="1181"/>
      <c r="AD29" s="1181"/>
      <c r="AE29" s="1181"/>
      <c r="AF29" s="1181"/>
      <c r="AG29" s="1181"/>
      <c r="AH29" s="1181"/>
      <c r="AI29" s="1181"/>
      <c r="AJ29" s="1181"/>
      <c r="AK29" s="1181"/>
      <c r="AL29" s="1181"/>
      <c r="AM29" s="1181"/>
      <c r="AN29" s="1181"/>
      <c r="AO29" s="1181"/>
      <c r="AP29" s="1181"/>
      <c r="AQ29" s="1181"/>
    </row>
    <row r="30" spans="1:43" s="1773" customFormat="1" ht="17.25" hidden="1" customHeight="1">
      <c r="A30" s="240"/>
      <c r="C30" s="239"/>
      <c r="D30" s="1883"/>
      <c r="E30" s="1897"/>
      <c r="F30" s="1899"/>
      <c r="G30" s="1897"/>
      <c r="H30" s="1902"/>
      <c r="I30" s="1904"/>
      <c r="J30" s="1907"/>
      <c r="K30" s="1894"/>
      <c r="L30" s="1894"/>
      <c r="M30" s="1894"/>
      <c r="N30" s="1910"/>
      <c r="O30" s="1894"/>
      <c r="P30" s="1335"/>
      <c r="Q30" s="1218"/>
      <c r="R30" s="1218"/>
      <c r="S30" s="251"/>
      <c r="T30" s="251"/>
      <c r="U30" s="251"/>
      <c r="V30" s="251"/>
      <c r="W30" s="1219"/>
      <c r="X30" s="1181"/>
      <c r="Y30" s="1181"/>
      <c r="Z30" s="1181"/>
      <c r="AA30" s="1181"/>
      <c r="AB30" s="1181"/>
      <c r="AC30" s="1181"/>
      <c r="AD30" s="1181"/>
      <c r="AE30" s="1181"/>
      <c r="AF30" s="1181"/>
      <c r="AG30" s="1181"/>
      <c r="AH30" s="1181"/>
      <c r="AI30" s="1181"/>
      <c r="AJ30" s="1181"/>
      <c r="AK30" s="1181"/>
      <c r="AL30" s="1181"/>
      <c r="AM30" s="1181"/>
      <c r="AN30" s="1181"/>
      <c r="AO30" s="1181"/>
      <c r="AP30" s="1181"/>
      <c r="AQ30" s="1181"/>
    </row>
    <row r="31" spans="1:43" s="1773" customFormat="1" ht="17.25" hidden="1" customHeight="1">
      <c r="A31" s="240"/>
      <c r="C31" s="239"/>
      <c r="D31" s="1883"/>
      <c r="E31" s="1897"/>
      <c r="F31" s="1899"/>
      <c r="G31" s="1897"/>
      <c r="H31" s="1902"/>
      <c r="I31" s="1904"/>
      <c r="J31" s="1907"/>
      <c r="K31" s="1894"/>
      <c r="L31" s="1218"/>
      <c r="M31" s="1218"/>
      <c r="N31" s="1218"/>
      <c r="O31" s="1218"/>
      <c r="P31" s="1218"/>
      <c r="Q31" s="1218"/>
      <c r="R31" s="1218"/>
      <c r="S31" s="251"/>
      <c r="T31" s="251"/>
      <c r="U31" s="251"/>
      <c r="V31" s="251"/>
      <c r="W31" s="1219"/>
      <c r="X31" s="1181"/>
      <c r="Y31" s="1181"/>
      <c r="Z31" s="1181"/>
      <c r="AA31" s="1181"/>
      <c r="AB31" s="1181"/>
      <c r="AC31" s="1181"/>
      <c r="AD31" s="1181"/>
      <c r="AE31" s="1181"/>
      <c r="AF31" s="1181"/>
      <c r="AG31" s="1181"/>
      <c r="AH31" s="1181"/>
      <c r="AI31" s="1181"/>
      <c r="AJ31" s="1181"/>
      <c r="AK31" s="1181"/>
      <c r="AL31" s="1181"/>
      <c r="AM31" s="1181"/>
      <c r="AN31" s="1181"/>
      <c r="AO31" s="1181"/>
      <c r="AP31" s="1181"/>
      <c r="AQ31" s="1181"/>
    </row>
    <row r="32" spans="1:43" s="1773" customFormat="1" ht="17.25" hidden="1" customHeight="1">
      <c r="A32" s="240"/>
      <c r="C32" s="239"/>
      <c r="D32" s="1883"/>
      <c r="E32" s="1897"/>
      <c r="F32" s="1900"/>
      <c r="G32" s="1897"/>
      <c r="H32" s="1220"/>
      <c r="I32" s="1221"/>
      <c r="J32" s="1221"/>
      <c r="K32" s="1221"/>
      <c r="L32" s="1221"/>
      <c r="M32" s="1221"/>
      <c r="N32" s="1221"/>
      <c r="O32" s="1221"/>
      <c r="P32" s="1221"/>
      <c r="Q32" s="1221"/>
      <c r="R32" s="1221"/>
      <c r="S32" s="1222"/>
      <c r="T32" s="1222"/>
      <c r="U32" s="1222"/>
      <c r="V32" s="1222"/>
      <c r="W32" s="1223"/>
      <c r="X32" s="1181"/>
      <c r="Y32" s="1181"/>
      <c r="Z32" s="1181"/>
      <c r="AA32" s="1181"/>
      <c r="AB32" s="1181"/>
      <c r="AC32" s="1181"/>
      <c r="AD32" s="1181"/>
      <c r="AE32" s="1181"/>
      <c r="AF32" s="1181"/>
      <c r="AG32" s="1181"/>
      <c r="AH32" s="1181"/>
      <c r="AI32" s="1181"/>
      <c r="AJ32" s="1181"/>
      <c r="AK32" s="1181"/>
      <c r="AL32" s="1181"/>
      <c r="AM32" s="1181"/>
      <c r="AN32" s="1181"/>
      <c r="AO32" s="1181"/>
      <c r="AP32" s="1181"/>
      <c r="AQ32" s="1181"/>
    </row>
    <row r="33" spans="1:43" s="1773" customFormat="1" ht="17.25" hidden="1" customHeight="1">
      <c r="A33" s="240"/>
      <c r="C33" s="126"/>
      <c r="D33" s="1895">
        <v>5</v>
      </c>
      <c r="E33" s="1896" t="s">
        <v>183</v>
      </c>
      <c r="F33" s="1898" t="s">
        <v>57</v>
      </c>
      <c r="G33" s="1896"/>
      <c r="H33" s="1901"/>
      <c r="I33" s="1903"/>
      <c r="J33" s="1905"/>
      <c r="K33" s="1893"/>
      <c r="L33" s="1893"/>
      <c r="M33" s="1893"/>
      <c r="N33" s="1908"/>
      <c r="O33" s="1893"/>
      <c r="P33" s="1893"/>
      <c r="Q33" s="1893"/>
      <c r="R33" s="1911"/>
      <c r="S33" s="1893"/>
      <c r="T33" s="1337"/>
      <c r="U33" s="1337"/>
      <c r="V33" s="1336"/>
      <c r="W33" s="1217"/>
      <c r="X33" s="1188"/>
      <c r="Y33" s="1188"/>
      <c r="Z33" s="1188"/>
      <c r="AA33" s="1188"/>
      <c r="AB33" s="1188"/>
      <c r="AC33" s="1188" t="s">
        <v>184</v>
      </c>
      <c r="AD33" s="1188" t="s">
        <v>185</v>
      </c>
      <c r="AE33" s="1188" t="s">
        <v>186</v>
      </c>
      <c r="AF33" s="1188" t="s">
        <v>187</v>
      </c>
      <c r="AG33" s="1188" t="s">
        <v>188</v>
      </c>
      <c r="AH33" s="1188" t="str">
        <f>IF($E$33=0,"",$E$33)</f>
        <v>Тарифы на услуги по передаче тепловой энергии</v>
      </c>
      <c r="AI33" s="1188" t="str">
        <f>IF($G$33=0,"",$G$33)</f>
        <v/>
      </c>
      <c r="AJ33" s="1188" t="str">
        <f>IF($J$33=0,"",$J$33)</f>
        <v/>
      </c>
      <c r="AK33" s="1188" t="str">
        <f>IF($K$33="нет","без дифференциации",IF($N$33=0,"",$N$33))</f>
        <v/>
      </c>
      <c r="AL33" s="1188" t="str">
        <f>IF($O$33="нет","без дифференциации",IF($R$33=0,"",$R$33))</f>
        <v/>
      </c>
      <c r="AM33" s="1188" t="str">
        <f>IF($S$33="нет","без дифференциации",IF($V$33=0,"",$V$33))</f>
        <v/>
      </c>
      <c r="AN33" s="1691">
        <f>$I$33</f>
        <v>0</v>
      </c>
      <c r="AO33" s="1188" t="str">
        <f>$I$33&amp;"."&amp;$M$33</f>
        <v>.</v>
      </c>
      <c r="AP33" s="1181" t="str">
        <f>$I$33&amp;"."&amp;$M$33&amp;"."&amp;$Q$33</f>
        <v>..</v>
      </c>
      <c r="AQ33" s="1181" t="str">
        <f>$I$33&amp;"."&amp;$M$33&amp;"."&amp;$Q$33&amp;"."&amp;$U$33</f>
        <v>...</v>
      </c>
    </row>
    <row r="34" spans="1:43" s="1773" customFormat="1" ht="17.25" hidden="1" customHeight="1">
      <c r="A34" s="240"/>
      <c r="C34" s="239"/>
      <c r="D34" s="1895"/>
      <c r="E34" s="1896"/>
      <c r="F34" s="1899"/>
      <c r="G34" s="1896"/>
      <c r="H34" s="1902"/>
      <c r="I34" s="1904"/>
      <c r="J34" s="1906"/>
      <c r="K34" s="1894"/>
      <c r="L34" s="1894"/>
      <c r="M34" s="1894"/>
      <c r="N34" s="1909"/>
      <c r="O34" s="1894"/>
      <c r="P34" s="1894"/>
      <c r="Q34" s="1894"/>
      <c r="R34" s="1910"/>
      <c r="S34" s="1894"/>
      <c r="T34" s="1218"/>
      <c r="U34" s="1218"/>
      <c r="V34" s="1218"/>
      <c r="W34" s="1219"/>
      <c r="X34" s="1181"/>
      <c r="Y34" s="1181"/>
      <c r="Z34" s="1181"/>
      <c r="AA34" s="1181"/>
      <c r="AB34" s="1181"/>
      <c r="AC34" s="1181"/>
      <c r="AD34" s="1181"/>
      <c r="AE34" s="1181"/>
      <c r="AF34" s="1181"/>
      <c r="AG34" s="1181"/>
      <c r="AH34" s="1181"/>
      <c r="AI34" s="1181"/>
      <c r="AJ34" s="1181"/>
      <c r="AK34" s="1181"/>
      <c r="AL34" s="1181"/>
      <c r="AM34" s="1181"/>
      <c r="AN34" s="1181"/>
      <c r="AO34" s="1181"/>
      <c r="AP34" s="1181"/>
      <c r="AQ34" s="1181"/>
    </row>
    <row r="35" spans="1:43" s="1773" customFormat="1" ht="17.25" hidden="1" customHeight="1">
      <c r="A35" s="240"/>
      <c r="C35" s="239"/>
      <c r="D35" s="1883"/>
      <c r="E35" s="1897"/>
      <c r="F35" s="1899"/>
      <c r="G35" s="1897"/>
      <c r="H35" s="1902"/>
      <c r="I35" s="1904"/>
      <c r="J35" s="1907"/>
      <c r="K35" s="1894"/>
      <c r="L35" s="1894"/>
      <c r="M35" s="1894"/>
      <c r="N35" s="1910"/>
      <c r="O35" s="1894"/>
      <c r="P35" s="1335"/>
      <c r="Q35" s="1218"/>
      <c r="R35" s="1218"/>
      <c r="S35" s="251"/>
      <c r="T35" s="251"/>
      <c r="U35" s="251"/>
      <c r="V35" s="251"/>
      <c r="W35" s="1219"/>
      <c r="X35" s="1181"/>
      <c r="Y35" s="1181"/>
      <c r="Z35" s="1181"/>
      <c r="AA35" s="1181"/>
      <c r="AB35" s="1181"/>
      <c r="AC35" s="1181"/>
      <c r="AD35" s="1181"/>
      <c r="AE35" s="1181"/>
      <c r="AF35" s="1181"/>
      <c r="AG35" s="1181"/>
      <c r="AH35" s="1181"/>
      <c r="AI35" s="1181"/>
      <c r="AJ35" s="1181"/>
      <c r="AK35" s="1181"/>
      <c r="AL35" s="1181"/>
      <c r="AM35" s="1181"/>
      <c r="AN35" s="1181"/>
      <c r="AO35" s="1181"/>
      <c r="AP35" s="1181"/>
      <c r="AQ35" s="1181"/>
    </row>
    <row r="36" spans="1:43" s="1773" customFormat="1" ht="17.25" hidden="1" customHeight="1">
      <c r="A36" s="240"/>
      <c r="C36" s="239"/>
      <c r="D36" s="1883"/>
      <c r="E36" s="1897"/>
      <c r="F36" s="1899"/>
      <c r="G36" s="1897"/>
      <c r="H36" s="1902"/>
      <c r="I36" s="1904"/>
      <c r="J36" s="1907"/>
      <c r="K36" s="1894"/>
      <c r="L36" s="1218"/>
      <c r="M36" s="1218"/>
      <c r="N36" s="1218"/>
      <c r="O36" s="1218"/>
      <c r="P36" s="1218"/>
      <c r="Q36" s="1218"/>
      <c r="R36" s="1218"/>
      <c r="S36" s="251"/>
      <c r="T36" s="251"/>
      <c r="U36" s="251"/>
      <c r="V36" s="251"/>
      <c r="W36" s="1219"/>
      <c r="X36" s="1181"/>
      <c r="Y36" s="1181"/>
      <c r="Z36" s="1181"/>
      <c r="AA36" s="1181"/>
      <c r="AB36" s="1181"/>
      <c r="AC36" s="1181"/>
      <c r="AD36" s="1181"/>
      <c r="AE36" s="1181"/>
      <c r="AF36" s="1181"/>
      <c r="AG36" s="1181"/>
      <c r="AH36" s="1181"/>
      <c r="AI36" s="1181"/>
      <c r="AJ36" s="1181"/>
      <c r="AK36" s="1181"/>
      <c r="AL36" s="1181"/>
      <c r="AM36" s="1181"/>
      <c r="AN36" s="1181"/>
      <c r="AO36" s="1181"/>
      <c r="AP36" s="1181"/>
      <c r="AQ36" s="1181"/>
    </row>
    <row r="37" spans="1:43" s="1773" customFormat="1" ht="17.25" hidden="1" customHeight="1">
      <c r="A37" s="240"/>
      <c r="C37" s="239"/>
      <c r="D37" s="1883"/>
      <c r="E37" s="1897"/>
      <c r="F37" s="1900"/>
      <c r="G37" s="1897"/>
      <c r="H37" s="1220"/>
      <c r="I37" s="1221"/>
      <c r="J37" s="1221"/>
      <c r="K37" s="1221"/>
      <c r="L37" s="1221"/>
      <c r="M37" s="1221"/>
      <c r="N37" s="1221"/>
      <c r="O37" s="1221"/>
      <c r="P37" s="1221"/>
      <c r="Q37" s="1221"/>
      <c r="R37" s="1221"/>
      <c r="S37" s="1222"/>
      <c r="T37" s="1222"/>
      <c r="U37" s="1222"/>
      <c r="V37" s="1222"/>
      <c r="W37" s="1223"/>
      <c r="X37" s="1181"/>
      <c r="Y37" s="1181"/>
      <c r="Z37" s="1181"/>
      <c r="AA37" s="1181"/>
      <c r="AB37" s="1181"/>
      <c r="AC37" s="1181"/>
      <c r="AD37" s="1181"/>
      <c r="AE37" s="1181"/>
      <c r="AF37" s="1181"/>
      <c r="AG37" s="1181"/>
      <c r="AH37" s="1181"/>
      <c r="AI37" s="1181"/>
      <c r="AJ37" s="1181"/>
      <c r="AK37" s="1181"/>
      <c r="AL37" s="1181"/>
      <c r="AM37" s="1181"/>
      <c r="AN37" s="1181"/>
      <c r="AO37" s="1181"/>
      <c r="AP37" s="1181"/>
      <c r="AQ37" s="1181"/>
    </row>
    <row r="38" spans="1:43" s="1773" customFormat="1" ht="17.25" hidden="1" customHeight="1">
      <c r="A38" s="240"/>
      <c r="C38" s="126"/>
      <c r="D38" s="1895">
        <v>6</v>
      </c>
      <c r="E38" s="1896" t="s">
        <v>189</v>
      </c>
      <c r="F38" s="1898" t="s">
        <v>57</v>
      </c>
      <c r="G38" s="1896"/>
      <c r="H38" s="1901"/>
      <c r="I38" s="1903"/>
      <c r="J38" s="1905"/>
      <c r="K38" s="1893"/>
      <c r="L38" s="1893"/>
      <c r="M38" s="1893"/>
      <c r="N38" s="1908"/>
      <c r="O38" s="1893"/>
      <c r="P38" s="1893"/>
      <c r="Q38" s="1893"/>
      <c r="R38" s="1911"/>
      <c r="S38" s="1893"/>
      <c r="T38" s="1337"/>
      <c r="U38" s="1337"/>
      <c r="V38" s="1336"/>
      <c r="W38" s="1217"/>
      <c r="X38" s="1188"/>
      <c r="Y38" s="1188"/>
      <c r="Z38" s="1188"/>
      <c r="AA38" s="1188"/>
      <c r="AB38" s="1188"/>
      <c r="AC38" s="1188" t="s">
        <v>190</v>
      </c>
      <c r="AD38" s="1188" t="s">
        <v>191</v>
      </c>
      <c r="AE38" s="1188" t="s">
        <v>192</v>
      </c>
      <c r="AF38" s="1188" t="s">
        <v>193</v>
      </c>
      <c r="AG38" s="1188" t="s">
        <v>194</v>
      </c>
      <c r="AH38" s="1188" t="str">
        <f>IF($E$38=0,"",$E$38)</f>
        <v>Тарифы на услуги по передаче теплоносителя</v>
      </c>
      <c r="AI38" s="1188" t="str">
        <f>IF($G$38=0,"",$G$38)</f>
        <v/>
      </c>
      <c r="AJ38" s="1188" t="str">
        <f>IF($J$38=0,"",$J$38)</f>
        <v/>
      </c>
      <c r="AK38" s="1188" t="str">
        <f>IF($K$38="нет","без дифференциации",IF($N$38=0,"",$N$38))</f>
        <v/>
      </c>
      <c r="AL38" s="1188" t="str">
        <f>IF($O$38="нет","без дифференциации",IF($R$38=0,"",$R$38))</f>
        <v/>
      </c>
      <c r="AM38" s="1188" t="str">
        <f>IF($S$38="нет","без дифференциации",IF($V$38=0,"",$V$38))</f>
        <v/>
      </c>
      <c r="AN38" s="1691">
        <f>$I$38</f>
        <v>0</v>
      </c>
      <c r="AO38" s="1188" t="str">
        <f>$I$38&amp;"."&amp;$M$38</f>
        <v>.</v>
      </c>
      <c r="AP38" s="1181" t="str">
        <f>$I$38&amp;"."&amp;$M$38&amp;"."&amp;$Q$38</f>
        <v>..</v>
      </c>
      <c r="AQ38" s="1181" t="str">
        <f>$I$38&amp;"."&amp;$M$38&amp;"."&amp;$Q$38&amp;"."&amp;$U$38</f>
        <v>...</v>
      </c>
    </row>
    <row r="39" spans="1:43" s="1773" customFormat="1" ht="17.25" hidden="1" customHeight="1">
      <c r="A39" s="240"/>
      <c r="C39" s="239"/>
      <c r="D39" s="1895"/>
      <c r="E39" s="1896"/>
      <c r="F39" s="1899"/>
      <c r="G39" s="1896"/>
      <c r="H39" s="1902"/>
      <c r="I39" s="1904"/>
      <c r="J39" s="1906"/>
      <c r="K39" s="1894"/>
      <c r="L39" s="1894"/>
      <c r="M39" s="1894"/>
      <c r="N39" s="1909"/>
      <c r="O39" s="1894"/>
      <c r="P39" s="1894"/>
      <c r="Q39" s="1894"/>
      <c r="R39" s="1910"/>
      <c r="S39" s="1894"/>
      <c r="T39" s="1218"/>
      <c r="U39" s="1218"/>
      <c r="V39" s="1218"/>
      <c r="W39" s="1219"/>
      <c r="X39" s="1181"/>
      <c r="Y39" s="1181"/>
      <c r="Z39" s="1181"/>
      <c r="AA39" s="1181"/>
      <c r="AB39" s="1181"/>
      <c r="AC39" s="1181"/>
      <c r="AD39" s="1181"/>
      <c r="AE39" s="1181"/>
      <c r="AF39" s="1181"/>
      <c r="AG39" s="1181"/>
      <c r="AH39" s="1181"/>
      <c r="AI39" s="1181"/>
      <c r="AJ39" s="1181"/>
      <c r="AK39" s="1181"/>
      <c r="AL39" s="1181"/>
      <c r="AM39" s="1181"/>
      <c r="AN39" s="1181"/>
      <c r="AO39" s="1181"/>
      <c r="AP39" s="1181"/>
      <c r="AQ39" s="1181"/>
    </row>
    <row r="40" spans="1:43" s="1773" customFormat="1" ht="17.25" hidden="1" customHeight="1">
      <c r="A40" s="240"/>
      <c r="C40" s="239"/>
      <c r="D40" s="1883"/>
      <c r="E40" s="1897"/>
      <c r="F40" s="1899"/>
      <c r="G40" s="1897"/>
      <c r="H40" s="1902"/>
      <c r="I40" s="1904"/>
      <c r="J40" s="1907"/>
      <c r="K40" s="1894"/>
      <c r="L40" s="1894"/>
      <c r="M40" s="1894"/>
      <c r="N40" s="1910"/>
      <c r="O40" s="1894"/>
      <c r="P40" s="1335"/>
      <c r="Q40" s="1218"/>
      <c r="R40" s="1218"/>
      <c r="S40" s="251"/>
      <c r="T40" s="251"/>
      <c r="U40" s="251"/>
      <c r="V40" s="251"/>
      <c r="W40" s="1219"/>
      <c r="X40" s="1181"/>
      <c r="Y40" s="1181"/>
      <c r="Z40" s="1181"/>
      <c r="AA40" s="1181"/>
      <c r="AB40" s="1181"/>
      <c r="AC40" s="1181"/>
      <c r="AD40" s="1181"/>
      <c r="AE40" s="1181"/>
      <c r="AF40" s="1181"/>
      <c r="AG40" s="1181"/>
      <c r="AH40" s="1181"/>
      <c r="AI40" s="1181"/>
      <c r="AJ40" s="1181"/>
      <c r="AK40" s="1181"/>
      <c r="AL40" s="1181"/>
      <c r="AM40" s="1181"/>
      <c r="AN40" s="1181"/>
      <c r="AO40" s="1181"/>
      <c r="AP40" s="1181"/>
      <c r="AQ40" s="1181"/>
    </row>
    <row r="41" spans="1:43" s="1773" customFormat="1" ht="17.25" hidden="1" customHeight="1">
      <c r="A41" s="240"/>
      <c r="C41" s="126"/>
      <c r="D41" s="1883"/>
      <c r="E41" s="1897"/>
      <c r="F41" s="1899"/>
      <c r="G41" s="1897"/>
      <c r="H41" s="1902"/>
      <c r="I41" s="1904"/>
      <c r="J41" s="1907"/>
      <c r="K41" s="1894"/>
      <c r="L41" s="1218"/>
      <c r="M41" s="1218"/>
      <c r="N41" s="1218"/>
      <c r="O41" s="1218"/>
      <c r="P41" s="1218"/>
      <c r="Q41" s="1218"/>
      <c r="R41" s="1218"/>
      <c r="S41" s="251"/>
      <c r="T41" s="251"/>
      <c r="U41" s="251"/>
      <c r="V41" s="251"/>
      <c r="W41" s="1219"/>
      <c r="Y41" s="1188"/>
      <c r="Z41" s="1188"/>
      <c r="AA41" s="1188"/>
      <c r="AB41" s="1188"/>
      <c r="AC41" s="1188"/>
      <c r="AD41" s="1188"/>
      <c r="AE41" s="1188"/>
      <c r="AF41" s="1188"/>
      <c r="AG41" s="1188"/>
      <c r="AH41" s="1188"/>
      <c r="AI41" s="1188"/>
      <c r="AJ41" s="1188"/>
      <c r="AK41" s="1188"/>
      <c r="AL41" s="1188"/>
      <c r="AM41" s="1188"/>
      <c r="AN41" s="1188"/>
      <c r="AO41" s="1188"/>
      <c r="AP41" s="1188"/>
      <c r="AQ41" s="1188"/>
    </row>
    <row r="42" spans="1:43" s="1773" customFormat="1" ht="17.25" hidden="1" customHeight="1">
      <c r="A42" s="240"/>
      <c r="C42" s="239"/>
      <c r="D42" s="1883"/>
      <c r="E42" s="1897"/>
      <c r="F42" s="1900"/>
      <c r="G42" s="1897"/>
      <c r="H42" s="1220"/>
      <c r="I42" s="1221"/>
      <c r="J42" s="1221"/>
      <c r="K42" s="1221"/>
      <c r="L42" s="1221"/>
      <c r="M42" s="1221"/>
      <c r="N42" s="1221"/>
      <c r="O42" s="1221"/>
      <c r="P42" s="1221"/>
      <c r="Q42" s="1221"/>
      <c r="R42" s="1221"/>
      <c r="S42" s="1222"/>
      <c r="T42" s="1222"/>
      <c r="U42" s="1222"/>
      <c r="V42" s="1222"/>
      <c r="W42" s="1223"/>
      <c r="X42" s="1181"/>
      <c r="Y42" s="1181"/>
      <c r="Z42" s="1181"/>
      <c r="AA42" s="1181"/>
      <c r="AB42" s="1181"/>
      <c r="AC42" s="1181"/>
      <c r="AD42" s="1181"/>
      <c r="AE42" s="1181"/>
      <c r="AF42" s="1181"/>
      <c r="AG42" s="1181"/>
      <c r="AH42" s="1181"/>
      <c r="AI42" s="1181"/>
      <c r="AJ42" s="1181"/>
      <c r="AK42" s="1181"/>
      <c r="AL42" s="1181"/>
      <c r="AM42" s="1181"/>
      <c r="AN42" s="1181"/>
      <c r="AO42" s="1181"/>
      <c r="AP42" s="1181"/>
      <c r="AQ42" s="1181"/>
    </row>
    <row r="43" spans="1:43" s="1773" customFormat="1" ht="17.25" hidden="1" customHeight="1">
      <c r="A43" s="240"/>
      <c r="C43" s="126"/>
      <c r="D43" s="1915">
        <v>7</v>
      </c>
      <c r="E43" s="1918" t="s">
        <v>195</v>
      </c>
      <c r="F43" s="1898" t="s">
        <v>57</v>
      </c>
      <c r="G43" s="1918"/>
      <c r="H43" s="1901"/>
      <c r="I43" s="1903"/>
      <c r="J43" s="1905"/>
      <c r="K43" s="1893"/>
      <c r="L43" s="1893"/>
      <c r="M43" s="1893"/>
      <c r="N43" s="1908"/>
      <c r="O43" s="1893"/>
      <c r="P43" s="1893"/>
      <c r="Q43" s="1893"/>
      <c r="R43" s="1911"/>
      <c r="S43" s="1893"/>
      <c r="T43" s="1337"/>
      <c r="U43" s="1337"/>
      <c r="V43" s="1336"/>
      <c r="W43" s="1217"/>
      <c r="X43" s="1188"/>
      <c r="Y43" s="1188"/>
      <c r="Z43" s="1188"/>
      <c r="AA43" s="1188"/>
      <c r="AB43" s="1188"/>
      <c r="AC43" s="1188" t="s">
        <v>196</v>
      </c>
      <c r="AD43" s="1188" t="s">
        <v>197</v>
      </c>
      <c r="AE43" s="1188" t="s">
        <v>198</v>
      </c>
      <c r="AF43" s="1188" t="s">
        <v>199</v>
      </c>
      <c r="AG43" s="1188" t="s">
        <v>200</v>
      </c>
      <c r="AH43" s="1188" t="str">
        <f>IF($E$43=0,"",$E$43)</f>
        <v>Плата за услуги по поддержанию резервной тепловой мощности при отсутствии потребления тепловой энергии</v>
      </c>
      <c r="AI43" s="1188" t="str">
        <f>IF($G$43=0,"",$G$43)</f>
        <v/>
      </c>
      <c r="AJ43" s="1188" t="str">
        <f>IF($J$43=0,"",$J$43)</f>
        <v/>
      </c>
      <c r="AK43" s="1188" t="str">
        <f>IF($K$43="нет","без дифференциации",IF($N$43=0,"",$N$43))</f>
        <v/>
      </c>
      <c r="AL43" s="1188" t="str">
        <f>IF($O$43="нет","без дифференциации",IF($R$43=0,"",$R$43))</f>
        <v/>
      </c>
      <c r="AM43" s="1188" t="str">
        <f>IF($S$43="нет","без дифференциации",IF($V$43=0,"",$V$43))</f>
        <v/>
      </c>
      <c r="AN43" s="1691">
        <f>$I$43</f>
        <v>0</v>
      </c>
      <c r="AO43" s="1188" t="str">
        <f>$I$43&amp;"."&amp;$M$43</f>
        <v>.</v>
      </c>
      <c r="AP43" s="1181" t="str">
        <f>$I$43&amp;"."&amp;$M$43&amp;"."&amp;$Q$43</f>
        <v>..</v>
      </c>
      <c r="AQ43" s="1181" t="str">
        <f>$I$43&amp;"."&amp;$M$43&amp;"."&amp;$Q$43&amp;"."&amp;$U$43</f>
        <v>...</v>
      </c>
    </row>
    <row r="44" spans="1:43" s="1773" customFormat="1" ht="17.25" hidden="1" customHeight="1">
      <c r="A44" s="240"/>
      <c r="C44" s="239"/>
      <c r="D44" s="1916"/>
      <c r="E44" s="1919"/>
      <c r="F44" s="1899"/>
      <c r="G44" s="1919"/>
      <c r="H44" s="1902"/>
      <c r="I44" s="1904"/>
      <c r="J44" s="1906"/>
      <c r="K44" s="1894"/>
      <c r="L44" s="1894"/>
      <c r="M44" s="1894"/>
      <c r="N44" s="1909"/>
      <c r="O44" s="1894"/>
      <c r="P44" s="1894"/>
      <c r="Q44" s="1894"/>
      <c r="R44" s="1910"/>
      <c r="S44" s="1894"/>
      <c r="T44" s="1218"/>
      <c r="U44" s="1218"/>
      <c r="V44" s="1218"/>
      <c r="W44" s="1219"/>
      <c r="X44" s="1181"/>
      <c r="Y44" s="1181"/>
      <c r="Z44" s="1181"/>
      <c r="AA44" s="1181"/>
      <c r="AB44" s="1181"/>
      <c r="AC44" s="1181"/>
      <c r="AD44" s="1181"/>
      <c r="AE44" s="1181"/>
      <c r="AF44" s="1181"/>
      <c r="AG44" s="1181"/>
      <c r="AH44" s="1181"/>
      <c r="AI44" s="1181"/>
      <c r="AJ44" s="1181"/>
      <c r="AK44" s="1181"/>
      <c r="AL44" s="1181"/>
      <c r="AM44" s="1181"/>
      <c r="AN44" s="1181"/>
      <c r="AO44" s="1181"/>
      <c r="AP44" s="1181"/>
      <c r="AQ44" s="1181"/>
    </row>
    <row r="45" spans="1:43" s="1773" customFormat="1" ht="17.25" hidden="1" customHeight="1">
      <c r="A45" s="240"/>
      <c r="C45" s="239"/>
      <c r="D45" s="1916"/>
      <c r="E45" s="1919"/>
      <c r="F45" s="1899"/>
      <c r="G45" s="1919"/>
      <c r="H45" s="1902"/>
      <c r="I45" s="1904"/>
      <c r="J45" s="1907"/>
      <c r="K45" s="1894"/>
      <c r="L45" s="1894"/>
      <c r="M45" s="1894"/>
      <c r="N45" s="1910"/>
      <c r="O45" s="1894"/>
      <c r="P45" s="1335"/>
      <c r="Q45" s="1218"/>
      <c r="R45" s="1218"/>
      <c r="S45" s="251"/>
      <c r="T45" s="251"/>
      <c r="U45" s="251"/>
      <c r="V45" s="251"/>
      <c r="W45" s="1219"/>
      <c r="X45" s="1181"/>
      <c r="Y45" s="1181"/>
      <c r="Z45" s="1181"/>
      <c r="AA45" s="1181"/>
      <c r="AB45" s="1181"/>
      <c r="AC45" s="1181"/>
      <c r="AD45" s="1181"/>
      <c r="AE45" s="1181"/>
      <c r="AF45" s="1181"/>
      <c r="AG45" s="1181"/>
      <c r="AH45" s="1181"/>
      <c r="AI45" s="1181"/>
      <c r="AJ45" s="1181"/>
      <c r="AK45" s="1181"/>
      <c r="AL45" s="1181"/>
      <c r="AM45" s="1181"/>
      <c r="AN45" s="1181"/>
      <c r="AO45" s="1181"/>
      <c r="AP45" s="1181"/>
      <c r="AQ45" s="1181"/>
    </row>
    <row r="46" spans="1:43" s="1773" customFormat="1" ht="17.25" hidden="1" customHeight="1">
      <c r="A46" s="240"/>
      <c r="C46" s="126"/>
      <c r="D46" s="1916"/>
      <c r="E46" s="1919"/>
      <c r="F46" s="1899"/>
      <c r="G46" s="1919"/>
      <c r="H46" s="1902"/>
      <c r="I46" s="1904"/>
      <c r="J46" s="1907"/>
      <c r="K46" s="1894"/>
      <c r="L46" s="1218"/>
      <c r="M46" s="1218"/>
      <c r="N46" s="1218"/>
      <c r="O46" s="1218"/>
      <c r="P46" s="1218"/>
      <c r="Q46" s="1218"/>
      <c r="R46" s="1218"/>
      <c r="S46" s="251"/>
      <c r="T46" s="251"/>
      <c r="U46" s="251"/>
      <c r="V46" s="251"/>
      <c r="W46" s="1219"/>
      <c r="Y46" s="1188"/>
      <c r="Z46" s="1188"/>
      <c r="AA46" s="1188"/>
      <c r="AB46" s="1188"/>
      <c r="AC46" s="1188"/>
      <c r="AD46" s="1188"/>
      <c r="AE46" s="1188"/>
      <c r="AF46" s="1188"/>
      <c r="AG46" s="1188"/>
      <c r="AH46" s="1188"/>
      <c r="AI46" s="1188"/>
      <c r="AJ46" s="1188"/>
      <c r="AK46" s="1188"/>
      <c r="AL46" s="1188"/>
      <c r="AM46" s="1188"/>
      <c r="AN46" s="1188"/>
      <c r="AO46" s="1188"/>
      <c r="AP46" s="1188"/>
      <c r="AQ46" s="1188"/>
    </row>
    <row r="47" spans="1:43" s="1773" customFormat="1" ht="17.25" hidden="1" customHeight="1">
      <c r="A47" s="240"/>
      <c r="C47" s="239"/>
      <c r="D47" s="1917"/>
      <c r="E47" s="1920"/>
      <c r="F47" s="1900"/>
      <c r="G47" s="1920"/>
      <c r="H47" s="1220"/>
      <c r="I47" s="1221"/>
      <c r="J47" s="1221"/>
      <c r="K47" s="1221"/>
      <c r="L47" s="1221"/>
      <c r="M47" s="1221"/>
      <c r="N47" s="1221"/>
      <c r="O47" s="1221"/>
      <c r="P47" s="1221"/>
      <c r="Q47" s="1221"/>
      <c r="R47" s="1221"/>
      <c r="S47" s="1222"/>
      <c r="T47" s="1222"/>
      <c r="U47" s="1222"/>
      <c r="V47" s="1222"/>
      <c r="W47" s="1223"/>
      <c r="X47" s="1181"/>
      <c r="Y47" s="1181"/>
      <c r="Z47" s="1181"/>
      <c r="AA47" s="1181"/>
      <c r="AB47" s="1181"/>
      <c r="AC47" s="1181"/>
      <c r="AD47" s="1181"/>
      <c r="AE47" s="1181"/>
      <c r="AF47" s="1181"/>
      <c r="AG47" s="1181"/>
      <c r="AH47" s="1181"/>
      <c r="AI47" s="1181"/>
      <c r="AJ47" s="1181"/>
      <c r="AK47" s="1181"/>
      <c r="AL47" s="1181"/>
      <c r="AM47" s="1181"/>
      <c r="AN47" s="1181"/>
      <c r="AO47" s="1181"/>
      <c r="AP47" s="1181"/>
      <c r="AQ47" s="1181"/>
    </row>
    <row r="48" spans="1:43" s="1773" customFormat="1" ht="17.25" hidden="1" customHeight="1">
      <c r="A48" s="240"/>
      <c r="C48" s="126"/>
      <c r="D48" s="1895">
        <v>8</v>
      </c>
      <c r="E48" s="1896" t="s">
        <v>201</v>
      </c>
      <c r="F48" s="1898" t="s">
        <v>57</v>
      </c>
      <c r="G48" s="1896"/>
      <c r="H48" s="1901"/>
      <c r="I48" s="1903"/>
      <c r="J48" s="1905"/>
      <c r="K48" s="1893"/>
      <c r="L48" s="1893"/>
      <c r="M48" s="1893"/>
      <c r="N48" s="1908"/>
      <c r="O48" s="1893"/>
      <c r="P48" s="1893"/>
      <c r="Q48" s="1893"/>
      <c r="R48" s="1911"/>
      <c r="S48" s="1893"/>
      <c r="T48" s="1383"/>
      <c r="U48" s="1383"/>
      <c r="V48" s="1385"/>
      <c r="W48" s="1217"/>
      <c r="X48" s="1188"/>
      <c r="Y48" s="1188"/>
      <c r="Z48" s="1188"/>
      <c r="AA48" s="1188"/>
      <c r="AB48" s="1188"/>
      <c r="AC48" s="1188" t="s">
        <v>202</v>
      </c>
      <c r="AD48" s="1188" t="s">
        <v>203</v>
      </c>
      <c r="AE48" s="1188" t="s">
        <v>204</v>
      </c>
      <c r="AF48" s="1188" t="s">
        <v>205</v>
      </c>
      <c r="AG48" s="1188" t="s">
        <v>206</v>
      </c>
      <c r="AH48" s="1188" t="str">
        <f>IF($E$48=0,"",$E$48)</f>
        <v>Плата за подключение (технологическое присоединение) к системе теплоснабжения</v>
      </c>
      <c r="AI48" s="1188" t="str">
        <f>IF($G$48=0,"",$G$48)</f>
        <v/>
      </c>
      <c r="AJ48" s="1188" t="str">
        <f>IF($J$48=0,"",$J$48)</f>
        <v/>
      </c>
      <c r="AK48" s="1188" t="str">
        <f>IF($K$48="нет","без дифференциации",IF($N$48=0,"",$N$48))</f>
        <v/>
      </c>
      <c r="AL48" s="1188" t="str">
        <f>IF($O$48="нет","без дифференциации",IF($R$48=0,"",$R$48))</f>
        <v/>
      </c>
      <c r="AM48" s="1188" t="str">
        <f>IF($S$48="нет","без дифференциации",IF($V$48=0,"",$V$48))</f>
        <v/>
      </c>
      <c r="AN48" s="1691">
        <f>$I$48</f>
        <v>0</v>
      </c>
      <c r="AO48" s="1188" t="str">
        <f>$I$48&amp;"."&amp;$M$48</f>
        <v>.</v>
      </c>
      <c r="AP48" s="1181" t="str">
        <f>$I$48&amp;"."&amp;$M$48&amp;"."&amp;$Q$48</f>
        <v>..</v>
      </c>
      <c r="AQ48" s="1181" t="str">
        <f>$I$48&amp;"."&amp;$M$48&amp;"."&amp;$Q$48&amp;"."&amp;$U$48</f>
        <v>...</v>
      </c>
    </row>
    <row r="49" spans="1:43" s="1773" customFormat="1" ht="17.25" hidden="1" customHeight="1">
      <c r="A49" s="240"/>
      <c r="C49" s="239"/>
      <c r="D49" s="1895"/>
      <c r="E49" s="1896"/>
      <c r="F49" s="1899"/>
      <c r="G49" s="1896"/>
      <c r="H49" s="1902"/>
      <c r="I49" s="1904"/>
      <c r="J49" s="1906"/>
      <c r="K49" s="1894"/>
      <c r="L49" s="1894"/>
      <c r="M49" s="1894"/>
      <c r="N49" s="1909"/>
      <c r="O49" s="1894"/>
      <c r="P49" s="1894"/>
      <c r="Q49" s="1894"/>
      <c r="R49" s="1910"/>
      <c r="S49" s="1894"/>
      <c r="T49" s="1218"/>
      <c r="U49" s="1218"/>
      <c r="V49" s="1218"/>
      <c r="W49" s="1219"/>
      <c r="X49" s="1181"/>
      <c r="Y49" s="1181"/>
      <c r="Z49" s="1181"/>
      <c r="AA49" s="1181"/>
      <c r="AB49" s="1181"/>
      <c r="AC49" s="1181"/>
      <c r="AD49" s="1181"/>
      <c r="AE49" s="1181"/>
      <c r="AF49" s="1181"/>
      <c r="AG49" s="1181"/>
      <c r="AH49" s="1181"/>
      <c r="AI49" s="1181"/>
      <c r="AJ49" s="1181"/>
      <c r="AK49" s="1181"/>
      <c r="AL49" s="1181"/>
      <c r="AM49" s="1181"/>
      <c r="AN49" s="1181"/>
      <c r="AO49" s="1181"/>
      <c r="AP49" s="1181"/>
      <c r="AQ49" s="1181"/>
    </row>
    <row r="50" spans="1:43" s="1773" customFormat="1" ht="17.25" hidden="1" customHeight="1">
      <c r="A50" s="240"/>
      <c r="C50" s="239"/>
      <c r="D50" s="1883"/>
      <c r="E50" s="1897"/>
      <c r="F50" s="1899"/>
      <c r="G50" s="1897"/>
      <c r="H50" s="1902"/>
      <c r="I50" s="1904"/>
      <c r="J50" s="1907"/>
      <c r="K50" s="1894"/>
      <c r="L50" s="1894"/>
      <c r="M50" s="1894"/>
      <c r="N50" s="1910"/>
      <c r="O50" s="1894"/>
      <c r="P50" s="1384"/>
      <c r="Q50" s="1218"/>
      <c r="R50" s="1218"/>
      <c r="S50" s="251"/>
      <c r="T50" s="251"/>
      <c r="U50" s="251"/>
      <c r="V50" s="251"/>
      <c r="W50" s="1219"/>
      <c r="X50" s="1181"/>
      <c r="Y50" s="1181"/>
      <c r="Z50" s="1181"/>
      <c r="AA50" s="1181"/>
      <c r="AB50" s="1181"/>
      <c r="AC50" s="1181"/>
      <c r="AD50" s="1181"/>
      <c r="AE50" s="1181"/>
      <c r="AF50" s="1181"/>
      <c r="AG50" s="1181"/>
      <c r="AH50" s="1181"/>
      <c r="AI50" s="1181"/>
      <c r="AJ50" s="1181"/>
      <c r="AK50" s="1181"/>
      <c r="AL50" s="1181"/>
      <c r="AM50" s="1181"/>
      <c r="AN50" s="1181"/>
      <c r="AO50" s="1181"/>
      <c r="AP50" s="1181"/>
      <c r="AQ50" s="1181"/>
    </row>
    <row r="51" spans="1:43" s="1773" customFormat="1" ht="17.25" hidden="1" customHeight="1">
      <c r="A51" s="240"/>
      <c r="C51" s="126"/>
      <c r="D51" s="1883"/>
      <c r="E51" s="1897"/>
      <c r="F51" s="1899"/>
      <c r="G51" s="1897"/>
      <c r="H51" s="1902"/>
      <c r="I51" s="1904"/>
      <c r="J51" s="1907"/>
      <c r="K51" s="1894"/>
      <c r="L51" s="1218"/>
      <c r="M51" s="1218"/>
      <c r="N51" s="1218"/>
      <c r="O51" s="1218"/>
      <c r="P51" s="1218"/>
      <c r="Q51" s="1218"/>
      <c r="R51" s="1218"/>
      <c r="S51" s="251"/>
      <c r="T51" s="251"/>
      <c r="U51" s="251"/>
      <c r="V51" s="251"/>
      <c r="W51" s="1219"/>
      <c r="Y51" s="1188"/>
      <c r="Z51" s="1188"/>
      <c r="AA51" s="1188"/>
      <c r="AB51" s="1188"/>
      <c r="AC51" s="1188"/>
      <c r="AD51" s="1188"/>
      <c r="AE51" s="1188"/>
      <c r="AF51" s="1188"/>
      <c r="AG51" s="1188"/>
      <c r="AH51" s="1188"/>
      <c r="AI51" s="1188"/>
      <c r="AJ51" s="1188"/>
      <c r="AK51" s="1188"/>
      <c r="AL51" s="1188"/>
      <c r="AM51" s="1188"/>
      <c r="AN51" s="1188"/>
      <c r="AO51" s="1188"/>
      <c r="AP51" s="1188"/>
      <c r="AQ51" s="1188"/>
    </row>
    <row r="52" spans="1:43" s="1773" customFormat="1" ht="17.25" hidden="1" customHeight="1">
      <c r="A52" s="240"/>
      <c r="C52" s="239"/>
      <c r="D52" s="1883"/>
      <c r="E52" s="1897"/>
      <c r="F52" s="1900"/>
      <c r="G52" s="1897"/>
      <c r="H52" s="1220"/>
      <c r="I52" s="1221"/>
      <c r="J52" s="1221"/>
      <c r="K52" s="1221"/>
      <c r="L52" s="1221"/>
      <c r="M52" s="1221"/>
      <c r="N52" s="1221"/>
      <c r="O52" s="1221"/>
      <c r="P52" s="1221"/>
      <c r="Q52" s="1221"/>
      <c r="R52" s="1221"/>
      <c r="S52" s="1222"/>
      <c r="T52" s="1222"/>
      <c r="U52" s="1222"/>
      <c r="V52" s="1222"/>
      <c r="W52" s="1223"/>
      <c r="X52" s="1181"/>
      <c r="Y52" s="1181"/>
      <c r="Z52" s="1181"/>
      <c r="AA52" s="1181"/>
      <c r="AB52" s="1181"/>
      <c r="AC52" s="1181"/>
      <c r="AD52" s="1181"/>
      <c r="AE52" s="1181"/>
      <c r="AF52" s="1181"/>
      <c r="AG52" s="1181"/>
      <c r="AH52" s="1181"/>
      <c r="AI52" s="1181"/>
      <c r="AJ52" s="1181"/>
      <c r="AK52" s="1181"/>
      <c r="AL52" s="1181"/>
      <c r="AM52" s="1181"/>
      <c r="AN52" s="1181"/>
      <c r="AO52" s="1181"/>
      <c r="AP52" s="1181"/>
      <c r="AQ52" s="1181"/>
    </row>
    <row r="53" spans="1:43" ht="11.25" hidden="1" customHeight="1"/>
    <row r="54" spans="1:43" ht="11.25" hidden="1" customHeight="1">
      <c r="E54" s="1914" t="s">
        <v>207</v>
      </c>
      <c r="F54" s="1914"/>
      <c r="G54" s="1914"/>
      <c r="H54" s="1914"/>
      <c r="I54" s="1914"/>
      <c r="J54" s="1914"/>
      <c r="K54" s="1914"/>
      <c r="L54" s="1914"/>
      <c r="M54" s="1914"/>
      <c r="N54" s="1914"/>
      <c r="O54" s="1914"/>
      <c r="P54" s="1914"/>
      <c r="Q54" s="1914"/>
      <c r="R54" s="1914"/>
      <c r="S54" s="1914"/>
      <c r="T54" s="1914"/>
      <c r="U54" s="1914"/>
      <c r="V54" s="1914"/>
      <c r="W54" s="1914"/>
    </row>
    <row r="55" spans="1:43" ht="36.75" hidden="1" customHeight="1">
      <c r="E55" s="1912" t="s">
        <v>208</v>
      </c>
      <c r="F55" s="1912"/>
      <c r="G55" s="1913"/>
      <c r="H55" s="1913"/>
      <c r="I55" s="1913"/>
      <c r="J55" s="1913"/>
      <c r="K55" s="1913"/>
      <c r="L55" s="1913"/>
      <c r="M55" s="1913"/>
      <c r="N55" s="1913"/>
      <c r="O55" s="1913"/>
      <c r="P55" s="1913"/>
      <c r="Q55" s="1913"/>
      <c r="R55" s="1913"/>
      <c r="S55" s="1913"/>
      <c r="T55" s="1913"/>
      <c r="U55" s="1913"/>
      <c r="V55" s="1913"/>
      <c r="W55" s="1913"/>
    </row>
    <row r="56" spans="1:43" ht="28.5" hidden="1" customHeight="1">
      <c r="E56" s="1912" t="s">
        <v>209</v>
      </c>
      <c r="F56" s="1912"/>
      <c r="G56" s="1913"/>
      <c r="H56" s="1913"/>
      <c r="I56" s="1913"/>
      <c r="J56" s="1913"/>
      <c r="K56" s="1913"/>
      <c r="L56" s="1913"/>
      <c r="M56" s="1913"/>
      <c r="N56" s="1913"/>
      <c r="O56" s="1913"/>
      <c r="P56" s="1913"/>
      <c r="Q56" s="1913"/>
      <c r="R56" s="1913"/>
      <c r="S56" s="1913"/>
      <c r="T56" s="1913"/>
      <c r="U56" s="1913"/>
      <c r="V56" s="1913"/>
      <c r="W56" s="1913"/>
    </row>
    <row r="57" spans="1:43" ht="27" hidden="1" customHeight="1">
      <c r="E57" s="1912" t="s">
        <v>210</v>
      </c>
      <c r="F57" s="1912"/>
      <c r="G57" s="1913"/>
      <c r="H57" s="1913"/>
      <c r="I57" s="1913"/>
      <c r="J57" s="1913"/>
      <c r="K57" s="1913"/>
      <c r="L57" s="1913"/>
      <c r="M57" s="1913"/>
      <c r="N57" s="1913"/>
      <c r="O57" s="1913"/>
      <c r="P57" s="1913"/>
      <c r="Q57" s="1913"/>
      <c r="R57" s="1913"/>
      <c r="S57" s="1913"/>
      <c r="T57" s="1913"/>
      <c r="U57" s="1913"/>
      <c r="V57" s="1913"/>
      <c r="W57" s="1913"/>
    </row>
    <row r="58" spans="1:43" ht="17.25" hidden="1" customHeight="1">
      <c r="E58" s="1912" t="s">
        <v>211</v>
      </c>
      <c r="F58" s="1912"/>
      <c r="G58" s="1913"/>
      <c r="H58" s="1913"/>
      <c r="I58" s="1913"/>
      <c r="J58" s="1913"/>
      <c r="K58" s="1913"/>
      <c r="L58" s="1913"/>
      <c r="M58" s="1913"/>
      <c r="N58" s="1913"/>
      <c r="O58" s="1913"/>
      <c r="P58" s="1913"/>
      <c r="Q58" s="1913"/>
      <c r="R58" s="1913"/>
      <c r="S58" s="1913"/>
      <c r="T58" s="1913"/>
      <c r="U58" s="1913"/>
      <c r="V58" s="1913"/>
      <c r="W58" s="1913"/>
    </row>
    <row r="59" spans="1:43" ht="15" hidden="1" customHeight="1">
      <c r="E59" s="262"/>
      <c r="F59" s="1206"/>
      <c r="G59" s="75"/>
      <c r="H59" s="75"/>
      <c r="I59" s="75"/>
      <c r="J59" s="75"/>
      <c r="K59" s="75"/>
      <c r="L59" s="75"/>
      <c r="M59" s="75"/>
      <c r="N59" s="75"/>
      <c r="O59" s="75"/>
      <c r="P59" s="75"/>
      <c r="Q59" s="75"/>
      <c r="R59" s="75"/>
      <c r="S59" s="75"/>
      <c r="T59" s="75"/>
      <c r="U59" s="75"/>
      <c r="V59" s="75"/>
      <c r="W59" s="75"/>
    </row>
    <row r="60" spans="1:43" ht="15" hidden="1" customHeight="1">
      <c r="E60" s="1914" t="s">
        <v>212</v>
      </c>
      <c r="F60" s="1914"/>
      <c r="G60" s="1914"/>
      <c r="H60" s="1914"/>
      <c r="I60" s="1914"/>
      <c r="J60" s="1914"/>
      <c r="K60" s="1914"/>
      <c r="L60" s="1914"/>
      <c r="M60" s="1914"/>
      <c r="N60" s="1914"/>
      <c r="O60" s="1914"/>
      <c r="P60" s="1914"/>
      <c r="Q60" s="1914"/>
      <c r="R60" s="1914"/>
      <c r="S60" s="1914"/>
      <c r="T60" s="1914"/>
      <c r="U60" s="1914"/>
      <c r="V60" s="1914"/>
      <c r="W60" s="1914"/>
    </row>
    <row r="61" spans="1:43" ht="17.25" hidden="1" customHeight="1">
      <c r="E61" s="1912" t="s">
        <v>213</v>
      </c>
      <c r="F61" s="1912"/>
      <c r="G61" s="1913"/>
      <c r="H61" s="1913"/>
      <c r="I61" s="1913"/>
      <c r="J61" s="1913"/>
      <c r="K61" s="1913"/>
      <c r="L61" s="1913"/>
      <c r="M61" s="1913"/>
      <c r="N61" s="1913"/>
      <c r="O61" s="1913"/>
      <c r="P61" s="1913"/>
      <c r="Q61" s="1913"/>
      <c r="R61" s="1913"/>
      <c r="S61" s="1913"/>
      <c r="T61" s="1913"/>
      <c r="U61" s="1913"/>
      <c r="V61" s="1913"/>
      <c r="W61" s="1913"/>
    </row>
    <row r="62" spans="1:43" ht="17.25" hidden="1" customHeight="1">
      <c r="E62" s="1912" t="s">
        <v>214</v>
      </c>
      <c r="F62" s="1912"/>
      <c r="G62" s="1913"/>
      <c r="H62" s="1913"/>
      <c r="I62" s="1913"/>
      <c r="J62" s="1913"/>
      <c r="K62" s="1913"/>
      <c r="L62" s="1913"/>
      <c r="M62" s="1913"/>
      <c r="N62" s="1913"/>
      <c r="O62" s="1913"/>
      <c r="P62" s="1913"/>
      <c r="Q62" s="1913"/>
      <c r="R62" s="1913"/>
      <c r="S62" s="1913"/>
      <c r="T62" s="1913"/>
      <c r="U62" s="1913"/>
      <c r="V62" s="1913"/>
      <c r="W62" s="1913"/>
    </row>
    <row r="63" spans="1:43" s="1773" customFormat="1" ht="11.25" customHeight="1">
      <c r="A63" s="191"/>
      <c r="B63" s="191"/>
      <c r="Y63" s="1181"/>
      <c r="Z63" s="1181"/>
      <c r="AA63" s="1181"/>
      <c r="AB63" s="1181"/>
      <c r="AC63" s="1181"/>
      <c r="AD63" s="1181"/>
      <c r="AE63" s="1181"/>
      <c r="AF63" s="1181"/>
      <c r="AG63" s="1181"/>
      <c r="AH63" s="1181"/>
      <c r="AI63" s="1181"/>
      <c r="AJ63" s="1181"/>
      <c r="AK63" s="1181"/>
      <c r="AL63" s="1181"/>
      <c r="AM63" s="1181"/>
      <c r="AN63" s="1181"/>
      <c r="AO63" s="1181"/>
      <c r="AP63" s="1181"/>
      <c r="AQ63" s="1181"/>
    </row>
    <row r="64" spans="1:43" s="1773" customFormat="1" ht="17.25" hidden="1" customHeight="1">
      <c r="A64" s="240"/>
      <c r="C64" s="126"/>
      <c r="D64" s="1895">
        <v>1</v>
      </c>
      <c r="E64" s="1896" t="s">
        <v>215</v>
      </c>
      <c r="F64" s="1898" t="s">
        <v>57</v>
      </c>
      <c r="G64" s="1896"/>
      <c r="H64" s="1901"/>
      <c r="I64" s="1903"/>
      <c r="J64" s="1905"/>
      <c r="K64" s="1893"/>
      <c r="L64" s="1893"/>
      <c r="M64" s="1893"/>
      <c r="N64" s="1908"/>
      <c r="O64" s="1893"/>
      <c r="P64" s="1893"/>
      <c r="Q64" s="1893"/>
      <c r="R64" s="1911"/>
      <c r="S64" s="1893"/>
      <c r="T64" s="1383"/>
      <c r="U64" s="1383"/>
      <c r="V64" s="1385"/>
      <c r="W64" s="1217"/>
      <c r="Y64" s="1188"/>
      <c r="Z64" s="1188"/>
      <c r="AA64" s="1188"/>
      <c r="AB64" s="1188"/>
      <c r="AC64" s="1188" t="s">
        <v>216</v>
      </c>
      <c r="AD64" s="1188" t="s">
        <v>217</v>
      </c>
      <c r="AE64" s="1188" t="s">
        <v>218</v>
      </c>
      <c r="AF64" s="1188" t="s">
        <v>219</v>
      </c>
      <c r="AG64" s="1188"/>
      <c r="AH64" s="1188" t="str">
        <f>IF($E$64=0,"",$E$64)</f>
        <v>Тариф на питьевую воду (питьевое водоснабжение)</v>
      </c>
      <c r="AI64" s="1188" t="str">
        <f>IF($G$64=0,"",$G$64)</f>
        <v/>
      </c>
      <c r="AJ64" s="1188" t="str">
        <f>IF($J$64=0,"",$J$64)</f>
        <v/>
      </c>
      <c r="AK64" s="1188" t="str">
        <f>IF($K$64="нет","без дифференциации",IF($N$64=0,"",$N$64))</f>
        <v/>
      </c>
      <c r="AL64" s="1188" t="str">
        <f>IF($O$64="нет","без дифференциации",IF($R$64=0,"",$R$64))</f>
        <v/>
      </c>
      <c r="AM64" s="1188" t="str">
        <f>IF($S$64="нет","без дифференциации",IF($V$64=0,"",$V$64))</f>
        <v/>
      </c>
      <c r="AN64" s="1188">
        <f>$I$64</f>
        <v>0</v>
      </c>
      <c r="AO64" s="1188" t="str">
        <f>$I$64&amp;"."&amp;$M$64</f>
        <v>.</v>
      </c>
      <c r="AP64" s="1188" t="str">
        <f>$I$64&amp;"."&amp;$M$64&amp;"."&amp;$Q$64</f>
        <v>..</v>
      </c>
      <c r="AQ64" s="1188" t="str">
        <f>$I$64&amp;"."&amp;$M$64&amp;"."&amp;$Q$64&amp;"."&amp;$U$64</f>
        <v>...</v>
      </c>
    </row>
    <row r="65" spans="1:43" s="1773" customFormat="1" ht="17.25" hidden="1" customHeight="1">
      <c r="A65" s="240"/>
      <c r="C65" s="239"/>
      <c r="D65" s="1895"/>
      <c r="E65" s="1896"/>
      <c r="F65" s="1899"/>
      <c r="G65" s="1896"/>
      <c r="H65" s="1902"/>
      <c r="I65" s="1904"/>
      <c r="J65" s="1906"/>
      <c r="K65" s="1894"/>
      <c r="L65" s="1894"/>
      <c r="M65" s="1894"/>
      <c r="N65" s="1909"/>
      <c r="O65" s="1894"/>
      <c r="P65" s="1894"/>
      <c r="Q65" s="1894"/>
      <c r="R65" s="1910"/>
      <c r="S65" s="1894"/>
      <c r="T65" s="1218"/>
      <c r="U65" s="1218"/>
      <c r="V65" s="1218"/>
      <c r="W65" s="1219"/>
      <c r="Y65" s="1181"/>
      <c r="Z65" s="1181"/>
      <c r="AA65" s="1181"/>
      <c r="AB65" s="1181"/>
      <c r="AC65" s="1181"/>
      <c r="AD65" s="1181"/>
      <c r="AE65" s="1181"/>
      <c r="AF65" s="1181"/>
      <c r="AG65" s="1181"/>
      <c r="AH65" s="1181"/>
      <c r="AI65" s="1181"/>
      <c r="AJ65" s="1181"/>
      <c r="AK65" s="1181"/>
      <c r="AL65" s="1181"/>
      <c r="AM65" s="1181"/>
      <c r="AN65" s="1181"/>
      <c r="AO65" s="1181"/>
      <c r="AP65" s="1181"/>
      <c r="AQ65" s="1181"/>
    </row>
    <row r="66" spans="1:43" s="1773" customFormat="1" ht="17.25" hidden="1" customHeight="1">
      <c r="A66" s="240"/>
      <c r="C66" s="126"/>
      <c r="D66" s="1895"/>
      <c r="E66" s="1896"/>
      <c r="F66" s="1899"/>
      <c r="G66" s="1896"/>
      <c r="H66" s="1902"/>
      <c r="I66" s="1904"/>
      <c r="J66" s="1907"/>
      <c r="K66" s="1894"/>
      <c r="L66" s="1894"/>
      <c r="M66" s="1894"/>
      <c r="N66" s="1910"/>
      <c r="O66" s="1894"/>
      <c r="P66" s="1384"/>
      <c r="Q66" s="1218"/>
      <c r="R66" s="1218"/>
      <c r="S66" s="251"/>
      <c r="T66" s="251"/>
      <c r="U66" s="251"/>
      <c r="V66" s="251"/>
      <c r="W66" s="1219"/>
      <c r="Y66" s="1188"/>
      <c r="Z66" s="1188"/>
      <c r="AA66" s="1188"/>
      <c r="AB66" s="1188"/>
      <c r="AC66" s="1188"/>
      <c r="AD66" s="1188"/>
      <c r="AE66" s="1188"/>
      <c r="AF66" s="1188"/>
      <c r="AG66" s="1188"/>
      <c r="AH66" s="1188"/>
      <c r="AI66" s="1188"/>
      <c r="AJ66" s="1188"/>
      <c r="AK66" s="1188"/>
      <c r="AL66" s="1188"/>
      <c r="AM66" s="1188"/>
      <c r="AN66" s="1188"/>
      <c r="AO66" s="1188"/>
      <c r="AP66" s="1188"/>
      <c r="AQ66" s="1188"/>
    </row>
    <row r="67" spans="1:43" s="1773" customFormat="1" ht="17.25" hidden="1" customHeight="1">
      <c r="A67" s="240"/>
      <c r="C67" s="239"/>
      <c r="D67" s="1895"/>
      <c r="E67" s="1896"/>
      <c r="F67" s="1899"/>
      <c r="G67" s="1896"/>
      <c r="H67" s="1902"/>
      <c r="I67" s="1904"/>
      <c r="J67" s="1907"/>
      <c r="K67" s="1894"/>
      <c r="L67" s="1218"/>
      <c r="M67" s="1218"/>
      <c r="N67" s="1218"/>
      <c r="O67" s="1218"/>
      <c r="P67" s="1218"/>
      <c r="Q67" s="1218"/>
      <c r="R67" s="1218"/>
      <c r="S67" s="251"/>
      <c r="T67" s="251"/>
      <c r="U67" s="251"/>
      <c r="V67" s="251"/>
      <c r="W67" s="1219"/>
      <c r="Y67" s="1181"/>
      <c r="Z67" s="1181"/>
      <c r="AA67" s="1181"/>
      <c r="AB67" s="1181"/>
      <c r="AC67" s="1181"/>
      <c r="AD67" s="1181"/>
      <c r="AE67" s="1181"/>
      <c r="AF67" s="1181"/>
      <c r="AG67" s="1181"/>
      <c r="AH67" s="1181"/>
      <c r="AI67" s="1181"/>
      <c r="AJ67" s="1181"/>
      <c r="AK67" s="1181"/>
      <c r="AL67" s="1181"/>
      <c r="AM67" s="1181"/>
      <c r="AN67" s="1181"/>
      <c r="AO67" s="1181"/>
      <c r="AP67" s="1181"/>
      <c r="AQ67" s="1181"/>
    </row>
    <row r="68" spans="1:43" s="1773" customFormat="1" ht="17.25" hidden="1" customHeight="1">
      <c r="A68" s="240"/>
      <c r="C68" s="239"/>
      <c r="D68" s="1883"/>
      <c r="E68" s="1897"/>
      <c r="F68" s="1900"/>
      <c r="G68" s="1897"/>
      <c r="H68" s="1220"/>
      <c r="I68" s="1221"/>
      <c r="J68" s="1221"/>
      <c r="K68" s="1221"/>
      <c r="L68" s="1221"/>
      <c r="M68" s="1221"/>
      <c r="N68" s="1221"/>
      <c r="O68" s="1221"/>
      <c r="P68" s="1221"/>
      <c r="Q68" s="1221"/>
      <c r="R68" s="1221"/>
      <c r="S68" s="1222"/>
      <c r="T68" s="1222"/>
      <c r="U68" s="1222"/>
      <c r="V68" s="1222"/>
      <c r="W68" s="1223"/>
      <c r="Y68" s="1181"/>
      <c r="Z68" s="1181"/>
      <c r="AA68" s="1181"/>
      <c r="AB68" s="1181"/>
      <c r="AC68" s="1181"/>
      <c r="AD68" s="1181"/>
      <c r="AE68" s="1181"/>
      <c r="AF68" s="1181"/>
      <c r="AG68" s="1181"/>
      <c r="AH68" s="1181"/>
      <c r="AI68" s="1181"/>
      <c r="AJ68" s="1181"/>
      <c r="AK68" s="1181"/>
      <c r="AL68" s="1181"/>
      <c r="AM68" s="1181"/>
      <c r="AN68" s="1181"/>
      <c r="AO68" s="1181"/>
      <c r="AP68" s="1181"/>
      <c r="AQ68" s="1181"/>
    </row>
    <row r="69" spans="1:43" s="1773" customFormat="1" ht="17.25" hidden="1" customHeight="1">
      <c r="A69" s="240"/>
      <c r="C69" s="126"/>
      <c r="D69" s="1895">
        <v>2</v>
      </c>
      <c r="E69" s="1896" t="s">
        <v>220</v>
      </c>
      <c r="F69" s="1898" t="s">
        <v>57</v>
      </c>
      <c r="G69" s="1896"/>
      <c r="H69" s="1901"/>
      <c r="I69" s="1903"/>
      <c r="J69" s="1905"/>
      <c r="K69" s="1893"/>
      <c r="L69" s="1893"/>
      <c r="M69" s="1893"/>
      <c r="N69" s="1908"/>
      <c r="O69" s="1893"/>
      <c r="P69" s="1893"/>
      <c r="Q69" s="1893"/>
      <c r="R69" s="1911"/>
      <c r="S69" s="1893"/>
      <c r="T69" s="1359"/>
      <c r="U69" s="1359"/>
      <c r="V69" s="1361"/>
      <c r="W69" s="1217"/>
      <c r="X69" s="1188"/>
      <c r="Y69" s="1188"/>
      <c r="Z69" s="1188"/>
      <c r="AA69" s="1188"/>
      <c r="AB69" s="1188"/>
      <c r="AC69" s="1188" t="s">
        <v>221</v>
      </c>
      <c r="AD69" s="1188" t="s">
        <v>222</v>
      </c>
      <c r="AE69" s="1188" t="s">
        <v>223</v>
      </c>
      <c r="AF69" s="1188" t="s">
        <v>224</v>
      </c>
      <c r="AG69" s="1188"/>
      <c r="AH69" s="1188" t="str">
        <f>IF($E$69=0,"",$E$69)</f>
        <v>Тариф на техническую воду</v>
      </c>
      <c r="AI69" s="1188" t="str">
        <f>IF($G$69=0,"",$G$69)</f>
        <v/>
      </c>
      <c r="AJ69" s="1188" t="str">
        <f>IF($J$69=0,"",$J$69)</f>
        <v/>
      </c>
      <c r="AK69" s="1188" t="str">
        <f>IF($K$69="нет","без дифференциации",IF($N$69=0,"",$N$69))</f>
        <v/>
      </c>
      <c r="AL69" s="1188" t="str">
        <f>IF($O$69="нет","без дифференциации",IF($R$69=0,"",$R$69))</f>
        <v/>
      </c>
      <c r="AM69" s="1188" t="str">
        <f>IF($S$69="нет","без дифференциации",IF($V$69=0,"",$V$69))</f>
        <v/>
      </c>
      <c r="AN69" s="1691">
        <f>$I$69</f>
        <v>0</v>
      </c>
      <c r="AO69" s="1188" t="str">
        <f>$I$69&amp;"."&amp;$M$69</f>
        <v>.</v>
      </c>
      <c r="AP69" s="1181" t="str">
        <f>$I$69&amp;"."&amp;$M$69&amp;"."&amp;$Q$69</f>
        <v>..</v>
      </c>
      <c r="AQ69" s="1181" t="str">
        <f>$I$69&amp;"."&amp;$M$69&amp;"."&amp;$Q$69&amp;"."&amp;$U$69</f>
        <v>...</v>
      </c>
    </row>
    <row r="70" spans="1:43" s="1773" customFormat="1" ht="17.25" hidden="1" customHeight="1">
      <c r="A70" s="240"/>
      <c r="C70" s="239"/>
      <c r="D70" s="1895"/>
      <c r="E70" s="1896"/>
      <c r="F70" s="1899"/>
      <c r="G70" s="1896"/>
      <c r="H70" s="1902"/>
      <c r="I70" s="1904"/>
      <c r="J70" s="1906"/>
      <c r="K70" s="1894"/>
      <c r="L70" s="1894"/>
      <c r="M70" s="1894"/>
      <c r="N70" s="1909"/>
      <c r="O70" s="1894"/>
      <c r="P70" s="1894"/>
      <c r="Q70" s="1894"/>
      <c r="R70" s="1910"/>
      <c r="S70" s="1894"/>
      <c r="T70" s="1218"/>
      <c r="U70" s="1218"/>
      <c r="V70" s="1218"/>
      <c r="W70" s="1219"/>
      <c r="X70" s="1181"/>
      <c r="Y70" s="1181"/>
      <c r="Z70" s="1181"/>
      <c r="AA70" s="1181"/>
      <c r="AB70" s="1181"/>
      <c r="AC70" s="1181"/>
      <c r="AD70" s="1181"/>
      <c r="AE70" s="1181"/>
      <c r="AF70" s="1181"/>
      <c r="AG70" s="1181"/>
      <c r="AH70" s="1181"/>
      <c r="AI70" s="1181"/>
      <c r="AJ70" s="1181"/>
      <c r="AK70" s="1181"/>
      <c r="AL70" s="1181"/>
      <c r="AM70" s="1181"/>
      <c r="AN70" s="1181"/>
      <c r="AO70" s="1181"/>
      <c r="AP70" s="1181"/>
      <c r="AQ70" s="1181"/>
    </row>
    <row r="71" spans="1:43" s="1773" customFormat="1" ht="17.25" hidden="1" customHeight="1">
      <c r="A71" s="240"/>
      <c r="C71" s="239"/>
      <c r="D71" s="1883"/>
      <c r="E71" s="1897"/>
      <c r="F71" s="1899"/>
      <c r="G71" s="1897"/>
      <c r="H71" s="1902"/>
      <c r="I71" s="1904"/>
      <c r="J71" s="1907"/>
      <c r="K71" s="1894"/>
      <c r="L71" s="1894"/>
      <c r="M71" s="1894"/>
      <c r="N71" s="1910"/>
      <c r="O71" s="1894"/>
      <c r="P71" s="1360"/>
      <c r="Q71" s="1218"/>
      <c r="R71" s="1218"/>
      <c r="S71" s="251"/>
      <c r="T71" s="251"/>
      <c r="U71" s="251"/>
      <c r="V71" s="251"/>
      <c r="W71" s="1219"/>
      <c r="X71" s="1181"/>
      <c r="Y71" s="1181"/>
      <c r="Z71" s="1181"/>
      <c r="AA71" s="1181"/>
      <c r="AB71" s="1181"/>
      <c r="AC71" s="1181"/>
      <c r="AD71" s="1181"/>
      <c r="AE71" s="1181"/>
      <c r="AF71" s="1181"/>
      <c r="AG71" s="1181"/>
      <c r="AH71" s="1181"/>
      <c r="AI71" s="1181"/>
      <c r="AJ71" s="1181"/>
      <c r="AK71" s="1181"/>
      <c r="AL71" s="1181"/>
      <c r="AM71" s="1181"/>
      <c r="AN71" s="1181"/>
      <c r="AO71" s="1181"/>
      <c r="AP71" s="1181"/>
      <c r="AQ71" s="1181"/>
    </row>
    <row r="72" spans="1:43" s="1773" customFormat="1" ht="17.25" hidden="1" customHeight="1">
      <c r="A72" s="240"/>
      <c r="C72" s="239"/>
      <c r="D72" s="1883"/>
      <c r="E72" s="1897"/>
      <c r="F72" s="1899"/>
      <c r="G72" s="1897"/>
      <c r="H72" s="1902"/>
      <c r="I72" s="1904"/>
      <c r="J72" s="1907"/>
      <c r="K72" s="1894"/>
      <c r="L72" s="1218"/>
      <c r="M72" s="1218"/>
      <c r="N72" s="1218"/>
      <c r="O72" s="1218"/>
      <c r="P72" s="1218"/>
      <c r="Q72" s="1218"/>
      <c r="R72" s="1218"/>
      <c r="S72" s="251"/>
      <c r="T72" s="251"/>
      <c r="U72" s="251"/>
      <c r="V72" s="251"/>
      <c r="W72" s="1219"/>
      <c r="X72" s="1181"/>
      <c r="Y72" s="1181"/>
      <c r="Z72" s="1181"/>
      <c r="AA72" s="1181"/>
      <c r="AB72" s="1181"/>
      <c r="AC72" s="1181"/>
      <c r="AD72" s="1181"/>
      <c r="AE72" s="1181"/>
      <c r="AF72" s="1181"/>
      <c r="AG72" s="1181"/>
      <c r="AH72" s="1181"/>
      <c r="AI72" s="1181"/>
      <c r="AJ72" s="1181"/>
      <c r="AK72" s="1181"/>
      <c r="AL72" s="1181"/>
      <c r="AM72" s="1181"/>
      <c r="AN72" s="1181"/>
      <c r="AO72" s="1181"/>
      <c r="AP72" s="1181"/>
      <c r="AQ72" s="1181"/>
    </row>
    <row r="73" spans="1:43" s="1773" customFormat="1" ht="17.25" hidden="1" customHeight="1">
      <c r="A73" s="240"/>
      <c r="C73" s="239"/>
      <c r="D73" s="1883"/>
      <c r="E73" s="1897"/>
      <c r="F73" s="1900"/>
      <c r="G73" s="1897"/>
      <c r="H73" s="1220"/>
      <c r="I73" s="1221"/>
      <c r="J73" s="1221"/>
      <c r="K73" s="1221"/>
      <c r="L73" s="1221"/>
      <c r="M73" s="1221"/>
      <c r="N73" s="1221"/>
      <c r="O73" s="1221"/>
      <c r="P73" s="1221"/>
      <c r="Q73" s="1221"/>
      <c r="R73" s="1221"/>
      <c r="S73" s="1222"/>
      <c r="T73" s="1222"/>
      <c r="U73" s="1222"/>
      <c r="V73" s="1222"/>
      <c r="W73" s="1223"/>
      <c r="X73" s="1181"/>
      <c r="Y73" s="1181"/>
      <c r="Z73" s="1181"/>
      <c r="AA73" s="1181"/>
      <c r="AB73" s="1181"/>
      <c r="AC73" s="1181"/>
      <c r="AD73" s="1181"/>
      <c r="AE73" s="1181"/>
      <c r="AF73" s="1181"/>
      <c r="AG73" s="1181"/>
      <c r="AH73" s="1181"/>
      <c r="AI73" s="1181"/>
      <c r="AJ73" s="1181"/>
      <c r="AK73" s="1181"/>
      <c r="AL73" s="1181"/>
      <c r="AM73" s="1181"/>
      <c r="AN73" s="1181"/>
      <c r="AO73" s="1181"/>
      <c r="AP73" s="1181"/>
      <c r="AQ73" s="1181"/>
    </row>
    <row r="74" spans="1:43" s="1773" customFormat="1" ht="17.25" hidden="1" customHeight="1">
      <c r="A74" s="240"/>
      <c r="C74" s="126"/>
      <c r="D74" s="1895">
        <v>3</v>
      </c>
      <c r="E74" s="1896" t="s">
        <v>225</v>
      </c>
      <c r="F74" s="1898" t="s">
        <v>57</v>
      </c>
      <c r="G74" s="1896"/>
      <c r="H74" s="1901"/>
      <c r="I74" s="1903"/>
      <c r="J74" s="1905"/>
      <c r="K74" s="1893"/>
      <c r="L74" s="1893"/>
      <c r="M74" s="1893"/>
      <c r="N74" s="1908"/>
      <c r="O74" s="1893"/>
      <c r="P74" s="1893"/>
      <c r="Q74" s="1893"/>
      <c r="R74" s="1911"/>
      <c r="S74" s="1893"/>
      <c r="T74" s="1359"/>
      <c r="U74" s="1359"/>
      <c r="V74" s="1361"/>
      <c r="W74" s="1217"/>
      <c r="X74" s="1188"/>
      <c r="Y74" s="1188"/>
      <c r="Z74" s="1188"/>
      <c r="AA74" s="1188"/>
      <c r="AB74" s="1188"/>
      <c r="AC74" s="1188" t="s">
        <v>226</v>
      </c>
      <c r="AD74" s="1188" t="s">
        <v>227</v>
      </c>
      <c r="AE74" s="1188" t="s">
        <v>228</v>
      </c>
      <c r="AF74" s="1188" t="s">
        <v>229</v>
      </c>
      <c r="AG74" s="1188"/>
      <c r="AH74" s="1188" t="str">
        <f>IF($E$74=0,"",$E$74)</f>
        <v>Тариф на транспортировку воды</v>
      </c>
      <c r="AI74" s="1188" t="str">
        <f>IF($G$74=0,"",$G$74)</f>
        <v/>
      </c>
      <c r="AJ74" s="1188" t="str">
        <f>IF($J$74=0,"",$J$74)</f>
        <v/>
      </c>
      <c r="AK74" s="1188" t="str">
        <f>IF($K$74="нет","без дифференциации",IF($N$74=0,"",$N$74))</f>
        <v/>
      </c>
      <c r="AL74" s="1188" t="str">
        <f>IF($O$74="нет","без дифференциации",IF($R$74=0,"",$R$74))</f>
        <v/>
      </c>
      <c r="AM74" s="1188" t="str">
        <f>IF($S$74="нет","без дифференциации",IF($V$74=0,"",$V$74))</f>
        <v/>
      </c>
      <c r="AN74" s="1691">
        <f>$I$74</f>
        <v>0</v>
      </c>
      <c r="AO74" s="1188" t="str">
        <f>$I$74&amp;"."&amp;$M$74</f>
        <v>.</v>
      </c>
      <c r="AP74" s="1181" t="str">
        <f>$I$74&amp;"."&amp;$M$74&amp;"."&amp;$Q$74</f>
        <v>..</v>
      </c>
      <c r="AQ74" s="1181" t="str">
        <f>$I$74&amp;"."&amp;$M$74&amp;"."&amp;$Q$74&amp;"."&amp;$U$74</f>
        <v>...</v>
      </c>
    </row>
    <row r="75" spans="1:43" s="1773" customFormat="1" ht="17.25" hidden="1" customHeight="1">
      <c r="A75" s="240"/>
      <c r="C75" s="239"/>
      <c r="D75" s="1895"/>
      <c r="E75" s="1896"/>
      <c r="F75" s="1899"/>
      <c r="G75" s="1896"/>
      <c r="H75" s="1902"/>
      <c r="I75" s="1904"/>
      <c r="J75" s="1906"/>
      <c r="K75" s="1894"/>
      <c r="L75" s="1894"/>
      <c r="M75" s="1894"/>
      <c r="N75" s="1909"/>
      <c r="O75" s="1894"/>
      <c r="P75" s="1894"/>
      <c r="Q75" s="1894"/>
      <c r="R75" s="1910"/>
      <c r="S75" s="1894"/>
      <c r="T75" s="1218"/>
      <c r="U75" s="1218"/>
      <c r="V75" s="1218"/>
      <c r="W75" s="1219"/>
      <c r="X75" s="1181"/>
      <c r="Y75" s="1181"/>
      <c r="Z75" s="1181"/>
      <c r="AA75" s="1181"/>
      <c r="AB75" s="1181"/>
      <c r="AC75" s="1181"/>
      <c r="AD75" s="1181"/>
      <c r="AE75" s="1181"/>
      <c r="AF75" s="1181"/>
      <c r="AG75" s="1181"/>
      <c r="AH75" s="1181"/>
      <c r="AI75" s="1181"/>
      <c r="AJ75" s="1181"/>
      <c r="AK75" s="1181"/>
      <c r="AL75" s="1181"/>
      <c r="AM75" s="1181"/>
      <c r="AN75" s="1181"/>
      <c r="AO75" s="1181"/>
      <c r="AP75" s="1181"/>
      <c r="AQ75" s="1181"/>
    </row>
    <row r="76" spans="1:43" s="1773" customFormat="1" ht="17.25" hidden="1" customHeight="1">
      <c r="A76" s="240"/>
      <c r="C76" s="239"/>
      <c r="D76" s="1883"/>
      <c r="E76" s="1897"/>
      <c r="F76" s="1899"/>
      <c r="G76" s="1897"/>
      <c r="H76" s="1902"/>
      <c r="I76" s="1904"/>
      <c r="J76" s="1907"/>
      <c r="K76" s="1894"/>
      <c r="L76" s="1894"/>
      <c r="M76" s="1894"/>
      <c r="N76" s="1910"/>
      <c r="O76" s="1894"/>
      <c r="P76" s="1360"/>
      <c r="Q76" s="1218"/>
      <c r="R76" s="1218"/>
      <c r="S76" s="251"/>
      <c r="T76" s="251"/>
      <c r="U76" s="251"/>
      <c r="V76" s="251"/>
      <c r="W76" s="1219"/>
      <c r="X76" s="1181"/>
      <c r="Y76" s="1181"/>
      <c r="Z76" s="1181"/>
      <c r="AA76" s="1181"/>
      <c r="AB76" s="1181"/>
      <c r="AC76" s="1181"/>
      <c r="AD76" s="1181"/>
      <c r="AE76" s="1181"/>
      <c r="AF76" s="1181"/>
      <c r="AG76" s="1181"/>
      <c r="AH76" s="1181"/>
      <c r="AI76" s="1181"/>
      <c r="AJ76" s="1181"/>
      <c r="AK76" s="1181"/>
      <c r="AL76" s="1181"/>
      <c r="AM76" s="1181"/>
      <c r="AN76" s="1181"/>
      <c r="AO76" s="1181"/>
      <c r="AP76" s="1181"/>
      <c r="AQ76" s="1181"/>
    </row>
    <row r="77" spans="1:43" s="1773" customFormat="1" ht="17.25" hidden="1" customHeight="1">
      <c r="A77" s="240"/>
      <c r="C77" s="239"/>
      <c r="D77" s="1883"/>
      <c r="E77" s="1897"/>
      <c r="F77" s="1899"/>
      <c r="G77" s="1897"/>
      <c r="H77" s="1902"/>
      <c r="I77" s="1904"/>
      <c r="J77" s="1907"/>
      <c r="K77" s="1894"/>
      <c r="L77" s="1218"/>
      <c r="M77" s="1218"/>
      <c r="N77" s="1218"/>
      <c r="O77" s="1218"/>
      <c r="P77" s="1218"/>
      <c r="Q77" s="1218"/>
      <c r="R77" s="1218"/>
      <c r="S77" s="251"/>
      <c r="T77" s="251"/>
      <c r="U77" s="251"/>
      <c r="V77" s="251"/>
      <c r="W77" s="1219"/>
      <c r="X77" s="1181"/>
      <c r="Y77" s="1181"/>
      <c r="Z77" s="1181"/>
      <c r="AA77" s="1181"/>
      <c r="AB77" s="1181"/>
      <c r="AC77" s="1181"/>
      <c r="AD77" s="1181"/>
      <c r="AE77" s="1181"/>
      <c r="AF77" s="1181"/>
      <c r="AG77" s="1181"/>
      <c r="AH77" s="1181"/>
      <c r="AI77" s="1181"/>
      <c r="AJ77" s="1181"/>
      <c r="AK77" s="1181"/>
      <c r="AL77" s="1181"/>
      <c r="AM77" s="1181"/>
      <c r="AN77" s="1181"/>
      <c r="AO77" s="1181"/>
      <c r="AP77" s="1181"/>
      <c r="AQ77" s="1181"/>
    </row>
    <row r="78" spans="1:43" s="1773" customFormat="1" ht="17.25" hidden="1" customHeight="1">
      <c r="A78" s="240"/>
      <c r="C78" s="239"/>
      <c r="D78" s="1883"/>
      <c r="E78" s="1897"/>
      <c r="F78" s="1900"/>
      <c r="G78" s="1897"/>
      <c r="H78" s="1220"/>
      <c r="I78" s="1221"/>
      <c r="J78" s="1221"/>
      <c r="K78" s="1221"/>
      <c r="L78" s="1221"/>
      <c r="M78" s="1221"/>
      <c r="N78" s="1221"/>
      <c r="O78" s="1221"/>
      <c r="P78" s="1221"/>
      <c r="Q78" s="1221"/>
      <c r="R78" s="1221"/>
      <c r="S78" s="1222"/>
      <c r="T78" s="1222"/>
      <c r="U78" s="1222"/>
      <c r="V78" s="1222"/>
      <c r="W78" s="1223"/>
      <c r="X78" s="1181"/>
      <c r="Y78" s="1181"/>
      <c r="Z78" s="1181"/>
      <c r="AA78" s="1181"/>
      <c r="AB78" s="1181"/>
      <c r="AC78" s="1181"/>
      <c r="AD78" s="1181"/>
      <c r="AE78" s="1181"/>
      <c r="AF78" s="1181"/>
      <c r="AG78" s="1181"/>
      <c r="AH78" s="1181"/>
      <c r="AI78" s="1181"/>
      <c r="AJ78" s="1181"/>
      <c r="AK78" s="1181"/>
      <c r="AL78" s="1181"/>
      <c r="AM78" s="1181"/>
      <c r="AN78" s="1181"/>
      <c r="AO78" s="1181"/>
      <c r="AP78" s="1181"/>
      <c r="AQ78" s="1181"/>
    </row>
    <row r="79" spans="1:43" s="1773" customFormat="1" ht="17.25" hidden="1" customHeight="1">
      <c r="A79" s="240"/>
      <c r="C79" s="126"/>
      <c r="D79" s="1895">
        <v>4</v>
      </c>
      <c r="E79" s="1896" t="s">
        <v>230</v>
      </c>
      <c r="F79" s="1898" t="s">
        <v>57</v>
      </c>
      <c r="G79" s="1896"/>
      <c r="H79" s="1901"/>
      <c r="I79" s="1903"/>
      <c r="J79" s="1905"/>
      <c r="K79" s="1893"/>
      <c r="L79" s="1893"/>
      <c r="M79" s="1893"/>
      <c r="N79" s="1908"/>
      <c r="O79" s="1893"/>
      <c r="P79" s="1893"/>
      <c r="Q79" s="1893"/>
      <c r="R79" s="1911"/>
      <c r="S79" s="1893"/>
      <c r="T79" s="1359"/>
      <c r="U79" s="1359"/>
      <c r="V79" s="1361"/>
      <c r="W79" s="1217"/>
      <c r="X79" s="1188"/>
      <c r="Y79" s="1188"/>
      <c r="Z79" s="1188"/>
      <c r="AA79" s="1188"/>
      <c r="AB79" s="1188"/>
      <c r="AC79" s="1188" t="s">
        <v>231</v>
      </c>
      <c r="AD79" s="1188" t="s">
        <v>232</v>
      </c>
      <c r="AE79" s="1188" t="s">
        <v>233</v>
      </c>
      <c r="AF79" s="1188" t="s">
        <v>234</v>
      </c>
      <c r="AG79" s="1188"/>
      <c r="AH79" s="1188" t="str">
        <f>IF($E$79=0,"",$E$79)</f>
        <v>Тариф на подвоз воды</v>
      </c>
      <c r="AI79" s="1188" t="str">
        <f>IF($G$79=0,"",$G$79)</f>
        <v/>
      </c>
      <c r="AJ79" s="1188" t="str">
        <f>IF($J$79=0,"",$J$79)</f>
        <v/>
      </c>
      <c r="AK79" s="1188" t="str">
        <f>IF($K$79="нет","без дифференциации",IF($N$79=0,"",$N$79))</f>
        <v/>
      </c>
      <c r="AL79" s="1188" t="str">
        <f>IF($O$79="нет","без дифференциации",IF($R$79=0,"",$R$79))</f>
        <v/>
      </c>
      <c r="AM79" s="1188" t="str">
        <f>IF($S$79="нет","без дифференциации",IF($V$79=0,"",$V$79))</f>
        <v/>
      </c>
      <c r="AN79" s="1691">
        <f>$I$79</f>
        <v>0</v>
      </c>
      <c r="AO79" s="1188" t="str">
        <f>$I$79&amp;"."&amp;$M$79</f>
        <v>.</v>
      </c>
      <c r="AP79" s="1181" t="str">
        <f>$I$79&amp;"."&amp;$M$79&amp;"."&amp;$Q$79</f>
        <v>..</v>
      </c>
      <c r="AQ79" s="1181" t="str">
        <f>$I$79&amp;"."&amp;$M$79&amp;"."&amp;$Q$79&amp;"."&amp;$U$79</f>
        <v>...</v>
      </c>
    </row>
    <row r="80" spans="1:43" s="1773" customFormat="1" ht="17.25" hidden="1" customHeight="1">
      <c r="A80" s="240"/>
      <c r="C80" s="239"/>
      <c r="D80" s="1895"/>
      <c r="E80" s="1896"/>
      <c r="F80" s="1899"/>
      <c r="G80" s="1896"/>
      <c r="H80" s="1902"/>
      <c r="I80" s="1904"/>
      <c r="J80" s="1906"/>
      <c r="K80" s="1894"/>
      <c r="L80" s="1894"/>
      <c r="M80" s="1894"/>
      <c r="N80" s="1909"/>
      <c r="O80" s="1894"/>
      <c r="P80" s="1894"/>
      <c r="Q80" s="1894"/>
      <c r="R80" s="1910"/>
      <c r="S80" s="1894"/>
      <c r="T80" s="1218"/>
      <c r="U80" s="1218"/>
      <c r="V80" s="1218"/>
      <c r="W80" s="1219"/>
      <c r="X80" s="1181"/>
      <c r="Y80" s="1181"/>
      <c r="Z80" s="1181"/>
      <c r="AA80" s="1181"/>
      <c r="AB80" s="1181"/>
      <c r="AC80" s="1181"/>
      <c r="AD80" s="1181"/>
      <c r="AE80" s="1181"/>
      <c r="AF80" s="1181"/>
      <c r="AG80" s="1181"/>
      <c r="AH80" s="1181"/>
      <c r="AI80" s="1181"/>
      <c r="AJ80" s="1181"/>
      <c r="AK80" s="1181"/>
      <c r="AL80" s="1181"/>
      <c r="AM80" s="1181"/>
      <c r="AN80" s="1181"/>
      <c r="AO80" s="1181"/>
      <c r="AP80" s="1181"/>
      <c r="AQ80" s="1181"/>
    </row>
    <row r="81" spans="1:43" s="1773" customFormat="1" ht="17.25" hidden="1" customHeight="1">
      <c r="A81" s="240"/>
      <c r="C81" s="239"/>
      <c r="D81" s="1883"/>
      <c r="E81" s="1897"/>
      <c r="F81" s="1899"/>
      <c r="G81" s="1897"/>
      <c r="H81" s="1902"/>
      <c r="I81" s="1904"/>
      <c r="J81" s="1907"/>
      <c r="K81" s="1894"/>
      <c r="L81" s="1894"/>
      <c r="M81" s="1894"/>
      <c r="N81" s="1910"/>
      <c r="O81" s="1894"/>
      <c r="P81" s="1360"/>
      <c r="Q81" s="1218"/>
      <c r="R81" s="1218"/>
      <c r="S81" s="251"/>
      <c r="T81" s="251"/>
      <c r="U81" s="251"/>
      <c r="V81" s="251"/>
      <c r="W81" s="1219"/>
      <c r="X81" s="1181"/>
      <c r="Y81" s="1181"/>
      <c r="Z81" s="1181"/>
      <c r="AA81" s="1181"/>
      <c r="AB81" s="1181"/>
      <c r="AC81" s="1181"/>
      <c r="AD81" s="1181"/>
      <c r="AE81" s="1181"/>
      <c r="AF81" s="1181"/>
      <c r="AG81" s="1181"/>
      <c r="AH81" s="1181"/>
      <c r="AI81" s="1181"/>
      <c r="AJ81" s="1181"/>
      <c r="AK81" s="1181"/>
      <c r="AL81" s="1181"/>
      <c r="AM81" s="1181"/>
      <c r="AN81" s="1181"/>
      <c r="AO81" s="1181"/>
      <c r="AP81" s="1181"/>
      <c r="AQ81" s="1181"/>
    </row>
    <row r="82" spans="1:43" s="1773" customFormat="1" ht="17.25" hidden="1" customHeight="1">
      <c r="A82" s="240"/>
      <c r="C82" s="239"/>
      <c r="D82" s="1883"/>
      <c r="E82" s="1897"/>
      <c r="F82" s="1899"/>
      <c r="G82" s="1897"/>
      <c r="H82" s="1902"/>
      <c r="I82" s="1904"/>
      <c r="J82" s="1907"/>
      <c r="K82" s="1894"/>
      <c r="L82" s="1218"/>
      <c r="M82" s="1218"/>
      <c r="N82" s="1218"/>
      <c r="O82" s="1218"/>
      <c r="P82" s="1218"/>
      <c r="Q82" s="1218"/>
      <c r="R82" s="1218"/>
      <c r="S82" s="251"/>
      <c r="T82" s="251"/>
      <c r="U82" s="251"/>
      <c r="V82" s="251"/>
      <c r="W82" s="1219"/>
      <c r="X82" s="1181"/>
      <c r="Y82" s="1181"/>
      <c r="Z82" s="1181"/>
      <c r="AA82" s="1181"/>
      <c r="AB82" s="1181"/>
      <c r="AC82" s="1181"/>
      <c r="AD82" s="1181"/>
      <c r="AE82" s="1181"/>
      <c r="AF82" s="1181"/>
      <c r="AG82" s="1181"/>
      <c r="AH82" s="1181"/>
      <c r="AI82" s="1181"/>
      <c r="AJ82" s="1181"/>
      <c r="AK82" s="1181"/>
      <c r="AL82" s="1181"/>
      <c r="AM82" s="1181"/>
      <c r="AN82" s="1181"/>
      <c r="AO82" s="1181"/>
      <c r="AP82" s="1181"/>
      <c r="AQ82" s="1181"/>
    </row>
    <row r="83" spans="1:43" s="1773" customFormat="1" ht="17.25" hidden="1" customHeight="1">
      <c r="A83" s="240"/>
      <c r="C83" s="239"/>
      <c r="D83" s="1883"/>
      <c r="E83" s="1897"/>
      <c r="F83" s="1900"/>
      <c r="G83" s="1897"/>
      <c r="H83" s="1220"/>
      <c r="I83" s="1221"/>
      <c r="J83" s="1221"/>
      <c r="K83" s="1221"/>
      <c r="L83" s="1221"/>
      <c r="M83" s="1221"/>
      <c r="N83" s="1221"/>
      <c r="O83" s="1221"/>
      <c r="P83" s="1221"/>
      <c r="Q83" s="1221"/>
      <c r="R83" s="1221"/>
      <c r="S83" s="1222"/>
      <c r="T83" s="1222"/>
      <c r="U83" s="1222"/>
      <c r="V83" s="1222"/>
      <c r="W83" s="1223"/>
      <c r="X83" s="1181"/>
      <c r="Y83" s="1181"/>
      <c r="Z83" s="1181"/>
      <c r="AA83" s="1181"/>
      <c r="AB83" s="1181"/>
      <c r="AC83" s="1181"/>
      <c r="AD83" s="1181"/>
      <c r="AE83" s="1181"/>
      <c r="AF83" s="1181"/>
      <c r="AG83" s="1181"/>
      <c r="AH83" s="1181"/>
      <c r="AI83" s="1181"/>
      <c r="AJ83" s="1181"/>
      <c r="AK83" s="1181"/>
      <c r="AL83" s="1181"/>
      <c r="AM83" s="1181"/>
      <c r="AN83" s="1181"/>
      <c r="AO83" s="1181"/>
      <c r="AP83" s="1181"/>
      <c r="AQ83" s="1181"/>
    </row>
    <row r="84" spans="1:43" s="1773" customFormat="1" ht="17.25" hidden="1" customHeight="1">
      <c r="A84" s="240"/>
      <c r="C84" s="126"/>
      <c r="D84" s="1895">
        <v>5</v>
      </c>
      <c r="E84" s="1896" t="s">
        <v>235</v>
      </c>
      <c r="F84" s="1898" t="s">
        <v>57</v>
      </c>
      <c r="G84" s="1896"/>
      <c r="H84" s="1901"/>
      <c r="I84" s="1903"/>
      <c r="J84" s="1905"/>
      <c r="K84" s="1893"/>
      <c r="L84" s="1893"/>
      <c r="M84" s="1893"/>
      <c r="N84" s="1908"/>
      <c r="O84" s="1893"/>
      <c r="P84" s="1893"/>
      <c r="Q84" s="1893"/>
      <c r="R84" s="1911"/>
      <c r="S84" s="1893"/>
      <c r="T84" s="1383"/>
      <c r="U84" s="1383"/>
      <c r="V84" s="1385"/>
      <c r="W84" s="1217"/>
      <c r="X84" s="1188"/>
      <c r="Y84" s="1188"/>
      <c r="Z84" s="1188"/>
      <c r="AA84" s="1188"/>
      <c r="AB84" s="1188"/>
      <c r="AC84" s="1188" t="s">
        <v>236</v>
      </c>
      <c r="AD84" s="1188" t="s">
        <v>237</v>
      </c>
      <c r="AE84" s="1188" t="s">
        <v>238</v>
      </c>
      <c r="AF84" s="1188" t="s">
        <v>239</v>
      </c>
      <c r="AG84" s="1188"/>
      <c r="AH84" s="1188" t="str">
        <f>IF($E$84=0,"",$E$84)</f>
        <v>Тариф на подключение (технологическое присоединение) к централизованной системе холодного водоснабжения</v>
      </c>
      <c r="AI84" s="1188" t="str">
        <f>IF($G$84=0,"",$G$84)</f>
        <v/>
      </c>
      <c r="AJ84" s="1188" t="str">
        <f>IF($J$84=0,"",$J$84)</f>
        <v/>
      </c>
      <c r="AK84" s="1188" t="str">
        <f>IF($K$84="нет","без дифференциации",IF($N$84=0,"",$N$84))</f>
        <v/>
      </c>
      <c r="AL84" s="1188" t="str">
        <f>IF($O$84="нет","без дифференциации",IF($R$84=0,"",$R$84))</f>
        <v/>
      </c>
      <c r="AM84" s="1188" t="str">
        <f>IF($S$84="нет","без дифференциации",IF($V$84=0,"",$V$84))</f>
        <v/>
      </c>
      <c r="AN84" s="1691">
        <f>$I$84</f>
        <v>0</v>
      </c>
      <c r="AO84" s="1188" t="str">
        <f>$I$84&amp;"."&amp;$M$84</f>
        <v>.</v>
      </c>
      <c r="AP84" s="1181" t="str">
        <f>$I$84&amp;"."&amp;$M$84&amp;"."&amp;$Q$84</f>
        <v>..</v>
      </c>
      <c r="AQ84" s="1181" t="str">
        <f>$I$84&amp;"."&amp;$M$84&amp;"."&amp;$Q$84&amp;"."&amp;$U$84</f>
        <v>...</v>
      </c>
    </row>
    <row r="85" spans="1:43" s="1773" customFormat="1" ht="17.25" hidden="1" customHeight="1">
      <c r="A85" s="240"/>
      <c r="C85" s="239"/>
      <c r="D85" s="1895"/>
      <c r="E85" s="1896"/>
      <c r="F85" s="1899"/>
      <c r="G85" s="1896"/>
      <c r="H85" s="1902"/>
      <c r="I85" s="1904"/>
      <c r="J85" s="1906"/>
      <c r="K85" s="1894"/>
      <c r="L85" s="1894"/>
      <c r="M85" s="1894"/>
      <c r="N85" s="1909"/>
      <c r="O85" s="1894"/>
      <c r="P85" s="1894"/>
      <c r="Q85" s="1894"/>
      <c r="R85" s="1910"/>
      <c r="S85" s="1894"/>
      <c r="T85" s="1218"/>
      <c r="U85" s="1218"/>
      <c r="V85" s="1218"/>
      <c r="W85" s="1219"/>
      <c r="X85" s="1181"/>
      <c r="Y85" s="1181"/>
      <c r="Z85" s="1181"/>
      <c r="AA85" s="1181"/>
      <c r="AB85" s="1181"/>
      <c r="AC85" s="1181"/>
      <c r="AD85" s="1181"/>
      <c r="AE85" s="1181"/>
      <c r="AF85" s="1181"/>
      <c r="AG85" s="1181"/>
      <c r="AH85" s="1181"/>
      <c r="AI85" s="1181"/>
      <c r="AJ85" s="1181"/>
      <c r="AK85" s="1181"/>
      <c r="AL85" s="1181"/>
      <c r="AM85" s="1181"/>
      <c r="AN85" s="1181"/>
      <c r="AO85" s="1181"/>
      <c r="AP85" s="1181"/>
      <c r="AQ85" s="1181"/>
    </row>
    <row r="86" spans="1:43" s="1773" customFormat="1" ht="17.25" hidden="1" customHeight="1">
      <c r="A86" s="240"/>
      <c r="C86" s="239"/>
      <c r="D86" s="1883"/>
      <c r="E86" s="1897"/>
      <c r="F86" s="1899"/>
      <c r="G86" s="1897"/>
      <c r="H86" s="1902"/>
      <c r="I86" s="1904"/>
      <c r="J86" s="1907"/>
      <c r="K86" s="1894"/>
      <c r="L86" s="1894"/>
      <c r="M86" s="1894"/>
      <c r="N86" s="1910"/>
      <c r="O86" s="1894"/>
      <c r="P86" s="1384"/>
      <c r="Q86" s="1218"/>
      <c r="R86" s="1218"/>
      <c r="S86" s="251"/>
      <c r="T86" s="251"/>
      <c r="U86" s="251"/>
      <c r="V86" s="251"/>
      <c r="W86" s="1219"/>
      <c r="X86" s="1181"/>
      <c r="Y86" s="1181"/>
      <c r="Z86" s="1181"/>
      <c r="AA86" s="1181"/>
      <c r="AB86" s="1181"/>
      <c r="AC86" s="1181"/>
      <c r="AD86" s="1181"/>
      <c r="AE86" s="1181"/>
      <c r="AF86" s="1181"/>
      <c r="AG86" s="1181"/>
      <c r="AH86" s="1181"/>
      <c r="AI86" s="1181"/>
      <c r="AJ86" s="1181"/>
      <c r="AK86" s="1181"/>
      <c r="AL86" s="1181"/>
      <c r="AM86" s="1181"/>
      <c r="AN86" s="1181"/>
      <c r="AO86" s="1181"/>
      <c r="AP86" s="1181"/>
      <c r="AQ86" s="1181"/>
    </row>
    <row r="87" spans="1:43" s="1773" customFormat="1" ht="17.25" hidden="1" customHeight="1">
      <c r="A87" s="240"/>
      <c r="C87" s="239"/>
      <c r="D87" s="1883"/>
      <c r="E87" s="1897"/>
      <c r="F87" s="1899"/>
      <c r="G87" s="1897"/>
      <c r="H87" s="1902"/>
      <c r="I87" s="1904"/>
      <c r="J87" s="1907"/>
      <c r="K87" s="1894"/>
      <c r="L87" s="1218"/>
      <c r="M87" s="1218"/>
      <c r="N87" s="1218"/>
      <c r="O87" s="1218"/>
      <c r="P87" s="1218"/>
      <c r="Q87" s="1218"/>
      <c r="R87" s="1218"/>
      <c r="S87" s="251"/>
      <c r="T87" s="251"/>
      <c r="U87" s="251"/>
      <c r="V87" s="251"/>
      <c r="W87" s="1219"/>
      <c r="X87" s="1181"/>
      <c r="Y87" s="1181"/>
      <c r="Z87" s="1181"/>
      <c r="AA87" s="1181"/>
      <c r="AB87" s="1181"/>
      <c r="AC87" s="1181"/>
      <c r="AD87" s="1181"/>
      <c r="AE87" s="1181"/>
      <c r="AF87" s="1181"/>
      <c r="AG87" s="1181"/>
      <c r="AH87" s="1181"/>
      <c r="AI87" s="1181"/>
      <c r="AJ87" s="1181"/>
      <c r="AK87" s="1181"/>
      <c r="AL87" s="1181"/>
      <c r="AM87" s="1181"/>
      <c r="AN87" s="1181"/>
      <c r="AO87" s="1181"/>
      <c r="AP87" s="1181"/>
      <c r="AQ87" s="1181"/>
    </row>
    <row r="88" spans="1:43" s="1773" customFormat="1" ht="17.25" hidden="1" customHeight="1">
      <c r="A88" s="240"/>
      <c r="C88" s="239"/>
      <c r="D88" s="1883"/>
      <c r="E88" s="1897"/>
      <c r="F88" s="1900"/>
      <c r="G88" s="1897"/>
      <c r="H88" s="1220"/>
      <c r="I88" s="1221"/>
      <c r="J88" s="1221"/>
      <c r="K88" s="1221"/>
      <c r="L88" s="1221"/>
      <c r="M88" s="1221"/>
      <c r="N88" s="1221"/>
      <c r="O88" s="1221"/>
      <c r="P88" s="1221"/>
      <c r="Q88" s="1221"/>
      <c r="R88" s="1221"/>
      <c r="S88" s="1222"/>
      <c r="T88" s="1222"/>
      <c r="U88" s="1222"/>
      <c r="V88" s="1222"/>
      <c r="W88" s="1223"/>
      <c r="X88" s="1181"/>
      <c r="Y88" s="1181"/>
      <c r="Z88" s="1181"/>
      <c r="AA88" s="1181"/>
      <c r="AB88" s="1181"/>
      <c r="AC88" s="1181"/>
      <c r="AD88" s="1181"/>
      <c r="AE88" s="1181"/>
      <c r="AF88" s="1181"/>
      <c r="AG88" s="1181"/>
      <c r="AH88" s="1181"/>
      <c r="AI88" s="1181"/>
      <c r="AJ88" s="1181"/>
      <c r="AK88" s="1181"/>
      <c r="AL88" s="1181"/>
      <c r="AM88" s="1181"/>
      <c r="AN88" s="1181"/>
      <c r="AO88" s="1181"/>
      <c r="AP88" s="1181"/>
      <c r="AQ88" s="1181"/>
    </row>
    <row r="89" spans="1:43" s="1773" customFormat="1" ht="11.25" customHeight="1">
      <c r="A89" s="191"/>
      <c r="B89" s="191"/>
      <c r="Y89" s="1181"/>
      <c r="Z89" s="1181"/>
      <c r="AA89" s="1181"/>
      <c r="AB89" s="1181"/>
      <c r="AC89" s="1181"/>
      <c r="AD89" s="1181"/>
      <c r="AE89" s="1181"/>
      <c r="AF89" s="1181"/>
      <c r="AG89" s="1181"/>
      <c r="AH89" s="1181"/>
      <c r="AI89" s="1181"/>
      <c r="AJ89" s="1181"/>
      <c r="AK89" s="1181"/>
      <c r="AL89" s="1181"/>
      <c r="AM89" s="1181"/>
      <c r="AN89" s="1181"/>
      <c r="AO89" s="1181"/>
      <c r="AP89" s="1181"/>
      <c r="AQ89" s="1181"/>
    </row>
    <row r="90" spans="1:43" s="1773" customFormat="1" ht="17.25" hidden="1" customHeight="1">
      <c r="A90" s="240"/>
      <c r="C90" s="126"/>
      <c r="D90" s="1895">
        <v>1</v>
      </c>
      <c r="E90" s="1896" t="s">
        <v>240</v>
      </c>
      <c r="F90" s="1898" t="s">
        <v>57</v>
      </c>
      <c r="G90" s="1896"/>
      <c r="H90" s="1901"/>
      <c r="I90" s="1903"/>
      <c r="J90" s="1905"/>
      <c r="K90" s="1893"/>
      <c r="L90" s="1893"/>
      <c r="M90" s="1893"/>
      <c r="N90" s="1908"/>
      <c r="O90" s="1893"/>
      <c r="P90" s="1893"/>
      <c r="Q90" s="1893"/>
      <c r="R90" s="1911"/>
      <c r="S90" s="1893"/>
      <c r="T90" s="1383"/>
      <c r="U90" s="1383"/>
      <c r="V90" s="1385"/>
      <c r="W90" s="1217"/>
      <c r="Y90" s="1188"/>
      <c r="Z90" s="1188"/>
      <c r="AA90" s="1188"/>
      <c r="AB90" s="1188"/>
      <c r="AC90" s="1188" t="s">
        <v>241</v>
      </c>
      <c r="AD90" s="1188" t="s">
        <v>242</v>
      </c>
      <c r="AE90" s="1188" t="s">
        <v>243</v>
      </c>
      <c r="AF90" s="1188" t="s">
        <v>244</v>
      </c>
      <c r="AG90" s="1188"/>
      <c r="AH90" s="1188" t="str">
        <f>IF($E$90=0,"",$E$90)</f>
        <v>Тариф на горячую воду (горячее водоснабжение)</v>
      </c>
      <c r="AI90" s="1188" t="str">
        <f>IF($G$90=0,"",$G$90)</f>
        <v/>
      </c>
      <c r="AJ90" s="1188" t="str">
        <f>IF($J$90=0,"",$J$90)</f>
        <v/>
      </c>
      <c r="AK90" s="1188" t="str">
        <f>IF($K$90="нет","без дифференциации",IF($N$90=0,"",$N$90))</f>
        <v/>
      </c>
      <c r="AL90" s="1188" t="str">
        <f>IF($O$90="нет","без дифференциации",IF($R$90=0,"",$R$90))</f>
        <v/>
      </c>
      <c r="AM90" s="1188" t="str">
        <f>IF($S$90="нет","без дифференциации",IF($V$90=0,"",$V$90))</f>
        <v/>
      </c>
      <c r="AN90" s="1188">
        <f>$I$90</f>
        <v>0</v>
      </c>
      <c r="AO90" s="1188" t="str">
        <f>$I$90&amp;"."&amp;$M$90</f>
        <v>.</v>
      </c>
      <c r="AP90" s="1188" t="str">
        <f>$I$90&amp;"."&amp;$M$90&amp;"."&amp;$Q$90</f>
        <v>..</v>
      </c>
      <c r="AQ90" s="1188" t="str">
        <f>$I$90&amp;"."&amp;$M$90&amp;"."&amp;$Q$90&amp;"."&amp;$U$90</f>
        <v>...</v>
      </c>
    </row>
    <row r="91" spans="1:43" s="1773" customFormat="1" ht="17.25" hidden="1" customHeight="1">
      <c r="A91" s="240"/>
      <c r="C91" s="239"/>
      <c r="D91" s="1895"/>
      <c r="E91" s="1896"/>
      <c r="F91" s="1899"/>
      <c r="G91" s="1896"/>
      <c r="H91" s="1902"/>
      <c r="I91" s="1904"/>
      <c r="J91" s="1906"/>
      <c r="K91" s="1894"/>
      <c r="L91" s="1894"/>
      <c r="M91" s="1894"/>
      <c r="N91" s="1909"/>
      <c r="O91" s="1894"/>
      <c r="P91" s="1894"/>
      <c r="Q91" s="1894"/>
      <c r="R91" s="1910"/>
      <c r="S91" s="1894"/>
      <c r="T91" s="1218"/>
      <c r="U91" s="1218"/>
      <c r="V91" s="1218"/>
      <c r="W91" s="1219"/>
      <c r="Y91" s="1181"/>
      <c r="Z91" s="1181"/>
      <c r="AA91" s="1181"/>
      <c r="AB91" s="1181"/>
      <c r="AC91" s="1181"/>
      <c r="AD91" s="1181"/>
      <c r="AE91" s="1181"/>
      <c r="AF91" s="1181"/>
      <c r="AG91" s="1181"/>
      <c r="AH91" s="1181"/>
      <c r="AI91" s="1181"/>
      <c r="AJ91" s="1181"/>
      <c r="AK91" s="1181"/>
      <c r="AL91" s="1181"/>
      <c r="AM91" s="1181"/>
      <c r="AN91" s="1181"/>
      <c r="AO91" s="1181"/>
      <c r="AP91" s="1181"/>
      <c r="AQ91" s="1181"/>
    </row>
    <row r="92" spans="1:43" s="1773" customFormat="1" ht="17.25" hidden="1" customHeight="1">
      <c r="A92" s="240"/>
      <c r="C92" s="126"/>
      <c r="D92" s="1895"/>
      <c r="E92" s="1896"/>
      <c r="F92" s="1899"/>
      <c r="G92" s="1896"/>
      <c r="H92" s="1902"/>
      <c r="I92" s="1904"/>
      <c r="J92" s="1907"/>
      <c r="K92" s="1894"/>
      <c r="L92" s="1894"/>
      <c r="M92" s="1894"/>
      <c r="N92" s="1910"/>
      <c r="O92" s="1894"/>
      <c r="P92" s="1384"/>
      <c r="Q92" s="1218"/>
      <c r="R92" s="1218"/>
      <c r="S92" s="251"/>
      <c r="T92" s="251"/>
      <c r="U92" s="251"/>
      <c r="V92" s="251"/>
      <c r="W92" s="1219"/>
      <c r="Y92" s="1188"/>
      <c r="Z92" s="1188"/>
      <c r="AA92" s="1188"/>
      <c r="AB92" s="1188"/>
      <c r="AC92" s="1188"/>
      <c r="AD92" s="1188"/>
      <c r="AE92" s="1188"/>
      <c r="AF92" s="1188"/>
      <c r="AG92" s="1188"/>
      <c r="AH92" s="1188"/>
      <c r="AI92" s="1188"/>
      <c r="AJ92" s="1188"/>
      <c r="AK92" s="1188"/>
      <c r="AL92" s="1188"/>
      <c r="AM92" s="1188"/>
      <c r="AN92" s="1188"/>
      <c r="AO92" s="1188"/>
      <c r="AP92" s="1188"/>
      <c r="AQ92" s="1188"/>
    </row>
    <row r="93" spans="1:43" s="1773" customFormat="1" ht="17.25" hidden="1" customHeight="1">
      <c r="A93" s="240"/>
      <c r="C93" s="239"/>
      <c r="D93" s="1895"/>
      <c r="E93" s="1896"/>
      <c r="F93" s="1899"/>
      <c r="G93" s="1896"/>
      <c r="H93" s="1902"/>
      <c r="I93" s="1904"/>
      <c r="J93" s="1907"/>
      <c r="K93" s="1894"/>
      <c r="L93" s="1218"/>
      <c r="M93" s="1218"/>
      <c r="N93" s="1218"/>
      <c r="O93" s="1218"/>
      <c r="P93" s="1218"/>
      <c r="Q93" s="1218"/>
      <c r="R93" s="1218"/>
      <c r="S93" s="251"/>
      <c r="T93" s="251"/>
      <c r="U93" s="251"/>
      <c r="V93" s="251"/>
      <c r="W93" s="1219"/>
      <c r="Y93" s="1181"/>
      <c r="Z93" s="1181"/>
      <c r="AA93" s="1181"/>
      <c r="AB93" s="1181"/>
      <c r="AC93" s="1181"/>
      <c r="AD93" s="1181"/>
      <c r="AE93" s="1181"/>
      <c r="AF93" s="1181"/>
      <c r="AG93" s="1181"/>
      <c r="AH93" s="1181"/>
      <c r="AI93" s="1181"/>
      <c r="AJ93" s="1181"/>
      <c r="AK93" s="1181"/>
      <c r="AL93" s="1181"/>
      <c r="AM93" s="1181"/>
      <c r="AN93" s="1181"/>
      <c r="AO93" s="1181"/>
      <c r="AP93" s="1181"/>
      <c r="AQ93" s="1181"/>
    </row>
    <row r="94" spans="1:43" s="1773" customFormat="1" ht="17.25" hidden="1" customHeight="1">
      <c r="A94" s="240"/>
      <c r="C94" s="239"/>
      <c r="D94" s="1883"/>
      <c r="E94" s="1897"/>
      <c r="F94" s="1900"/>
      <c r="G94" s="1897"/>
      <c r="H94" s="1220"/>
      <c r="I94" s="1221"/>
      <c r="J94" s="1221"/>
      <c r="K94" s="1221"/>
      <c r="L94" s="1221"/>
      <c r="M94" s="1221"/>
      <c r="N94" s="1221"/>
      <c r="O94" s="1221"/>
      <c r="P94" s="1221"/>
      <c r="Q94" s="1221"/>
      <c r="R94" s="1221"/>
      <c r="S94" s="1222"/>
      <c r="T94" s="1222"/>
      <c r="U94" s="1222"/>
      <c r="V94" s="1222"/>
      <c r="W94" s="1223"/>
      <c r="Y94" s="1181"/>
      <c r="Z94" s="1181"/>
      <c r="AA94" s="1181"/>
      <c r="AB94" s="1181"/>
      <c r="AC94" s="1181"/>
      <c r="AD94" s="1181"/>
      <c r="AE94" s="1181"/>
      <c r="AF94" s="1181"/>
      <c r="AG94" s="1181"/>
      <c r="AH94" s="1181"/>
      <c r="AI94" s="1181"/>
      <c r="AJ94" s="1181"/>
      <c r="AK94" s="1181"/>
      <c r="AL94" s="1181"/>
      <c r="AM94" s="1181"/>
      <c r="AN94" s="1181"/>
      <c r="AO94" s="1181"/>
      <c r="AP94" s="1181"/>
      <c r="AQ94" s="1181"/>
    </row>
    <row r="95" spans="1:43" s="1773" customFormat="1" ht="17.25" hidden="1" customHeight="1">
      <c r="A95" s="240"/>
      <c r="C95" s="126"/>
      <c r="D95" s="1895">
        <v>2</v>
      </c>
      <c r="E95" s="1896" t="s">
        <v>245</v>
      </c>
      <c r="F95" s="1898" t="s">
        <v>57</v>
      </c>
      <c r="G95" s="1896"/>
      <c r="H95" s="1901"/>
      <c r="I95" s="1903"/>
      <c r="J95" s="1905"/>
      <c r="K95" s="1893"/>
      <c r="L95" s="1893"/>
      <c r="M95" s="1893"/>
      <c r="N95" s="1908"/>
      <c r="O95" s="1893"/>
      <c r="P95" s="1893"/>
      <c r="Q95" s="1893"/>
      <c r="R95" s="1911"/>
      <c r="S95" s="1893"/>
      <c r="T95" s="1383"/>
      <c r="U95" s="1383"/>
      <c r="V95" s="1385"/>
      <c r="W95" s="1217"/>
      <c r="X95" s="1188"/>
      <c r="Y95" s="1188"/>
      <c r="Z95" s="1188"/>
      <c r="AA95" s="1188"/>
      <c r="AB95" s="1188"/>
      <c r="AC95" s="1188" t="s">
        <v>246</v>
      </c>
      <c r="AD95" s="1188" t="s">
        <v>247</v>
      </c>
      <c r="AE95" s="1188" t="s">
        <v>248</v>
      </c>
      <c r="AF95" s="1188" t="s">
        <v>249</v>
      </c>
      <c r="AG95" s="1188"/>
      <c r="AH95" s="1188" t="str">
        <f>IF($E$95=0,"",$E$95)</f>
        <v>Тариф на транспортировку горячей воды</v>
      </c>
      <c r="AI95" s="1188" t="str">
        <f>IF($G$95=0,"",$G$95)</f>
        <v/>
      </c>
      <c r="AJ95" s="1188" t="str">
        <f>IF($J$95=0,"",$J$95)</f>
        <v/>
      </c>
      <c r="AK95" s="1188" t="str">
        <f>IF($K$95="нет","без дифференциации",IF($N$95=0,"",$N$95))</f>
        <v/>
      </c>
      <c r="AL95" s="1188" t="str">
        <f>IF($O$95="нет","без дифференциации",IF($R$95=0,"",$R$95))</f>
        <v/>
      </c>
      <c r="AM95" s="1188" t="str">
        <f>IF($S$95="нет","без дифференциации",IF($V$95=0,"",$V$95))</f>
        <v/>
      </c>
      <c r="AN95" s="1691">
        <f>$I$95</f>
        <v>0</v>
      </c>
      <c r="AO95" s="1188" t="str">
        <f>$I$95&amp;"."&amp;$M$95</f>
        <v>.</v>
      </c>
      <c r="AP95" s="1181" t="str">
        <f>$I$95&amp;"."&amp;$M$95&amp;"."&amp;$Q$95</f>
        <v>..</v>
      </c>
      <c r="AQ95" s="1181" t="str">
        <f>$I$95&amp;"."&amp;$M$95&amp;"."&amp;$Q$95&amp;"."&amp;$U$95</f>
        <v>...</v>
      </c>
    </row>
    <row r="96" spans="1:43" s="1773" customFormat="1" ht="17.25" hidden="1" customHeight="1">
      <c r="A96" s="240"/>
      <c r="C96" s="239"/>
      <c r="D96" s="1895"/>
      <c r="E96" s="1896"/>
      <c r="F96" s="1899"/>
      <c r="G96" s="1896"/>
      <c r="H96" s="1902"/>
      <c r="I96" s="1904"/>
      <c r="J96" s="1906"/>
      <c r="K96" s="1894"/>
      <c r="L96" s="1894"/>
      <c r="M96" s="1894"/>
      <c r="N96" s="1909"/>
      <c r="O96" s="1894"/>
      <c r="P96" s="1894"/>
      <c r="Q96" s="1894"/>
      <c r="R96" s="1910"/>
      <c r="S96" s="1894"/>
      <c r="T96" s="1218"/>
      <c r="U96" s="1218"/>
      <c r="V96" s="1218"/>
      <c r="W96" s="1219"/>
      <c r="X96" s="1181"/>
      <c r="Y96" s="1181"/>
      <c r="Z96" s="1181"/>
      <c r="AA96" s="1181"/>
      <c r="AB96" s="1181"/>
      <c r="AC96" s="1181"/>
      <c r="AD96" s="1181"/>
      <c r="AE96" s="1181"/>
      <c r="AF96" s="1181"/>
      <c r="AG96" s="1181"/>
      <c r="AH96" s="1181"/>
      <c r="AI96" s="1181"/>
      <c r="AJ96" s="1181"/>
      <c r="AK96" s="1181"/>
      <c r="AL96" s="1181"/>
      <c r="AM96" s="1181"/>
      <c r="AN96" s="1181"/>
      <c r="AO96" s="1181"/>
      <c r="AP96" s="1181"/>
      <c r="AQ96" s="1181"/>
    </row>
    <row r="97" spans="1:43" s="1773" customFormat="1" ht="17.25" hidden="1" customHeight="1">
      <c r="A97" s="240"/>
      <c r="C97" s="239"/>
      <c r="D97" s="1883"/>
      <c r="E97" s="1897"/>
      <c r="F97" s="1899"/>
      <c r="G97" s="1897"/>
      <c r="H97" s="1902"/>
      <c r="I97" s="1904"/>
      <c r="J97" s="1907"/>
      <c r="K97" s="1894"/>
      <c r="L97" s="1894"/>
      <c r="M97" s="1894"/>
      <c r="N97" s="1910"/>
      <c r="O97" s="1894"/>
      <c r="P97" s="1384"/>
      <c r="Q97" s="1218"/>
      <c r="R97" s="1218"/>
      <c r="S97" s="251"/>
      <c r="T97" s="251"/>
      <c r="U97" s="251"/>
      <c r="V97" s="251"/>
      <c r="W97" s="1219"/>
      <c r="X97" s="1181"/>
      <c r="Y97" s="1181"/>
      <c r="Z97" s="1181"/>
      <c r="AA97" s="1181"/>
      <c r="AB97" s="1181"/>
      <c r="AC97" s="1181"/>
      <c r="AD97" s="1181"/>
      <c r="AE97" s="1181"/>
      <c r="AF97" s="1181"/>
      <c r="AG97" s="1181"/>
      <c r="AH97" s="1181"/>
      <c r="AI97" s="1181"/>
      <c r="AJ97" s="1181"/>
      <c r="AK97" s="1181"/>
      <c r="AL97" s="1181"/>
      <c r="AM97" s="1181"/>
      <c r="AN97" s="1181"/>
      <c r="AO97" s="1181"/>
      <c r="AP97" s="1181"/>
      <c r="AQ97" s="1181"/>
    </row>
    <row r="98" spans="1:43" s="1773" customFormat="1" ht="17.25" hidden="1" customHeight="1">
      <c r="A98" s="240"/>
      <c r="C98" s="239"/>
      <c r="D98" s="1883"/>
      <c r="E98" s="1897"/>
      <c r="F98" s="1899"/>
      <c r="G98" s="1897"/>
      <c r="H98" s="1902"/>
      <c r="I98" s="1904"/>
      <c r="J98" s="1907"/>
      <c r="K98" s="1894"/>
      <c r="L98" s="1218"/>
      <c r="M98" s="1218"/>
      <c r="N98" s="1218"/>
      <c r="O98" s="1218"/>
      <c r="P98" s="1218"/>
      <c r="Q98" s="1218"/>
      <c r="R98" s="1218"/>
      <c r="S98" s="251"/>
      <c r="T98" s="251"/>
      <c r="U98" s="251"/>
      <c r="V98" s="251"/>
      <c r="W98" s="1219"/>
      <c r="X98" s="1181"/>
      <c r="Y98" s="1181"/>
      <c r="Z98" s="1181"/>
      <c r="AA98" s="1181"/>
      <c r="AB98" s="1181"/>
      <c r="AC98" s="1181"/>
      <c r="AD98" s="1181"/>
      <c r="AE98" s="1181"/>
      <c r="AF98" s="1181"/>
      <c r="AG98" s="1181"/>
      <c r="AH98" s="1181"/>
      <c r="AI98" s="1181"/>
      <c r="AJ98" s="1181"/>
      <c r="AK98" s="1181"/>
      <c r="AL98" s="1181"/>
      <c r="AM98" s="1181"/>
      <c r="AN98" s="1181"/>
      <c r="AO98" s="1181"/>
      <c r="AP98" s="1181"/>
      <c r="AQ98" s="1181"/>
    </row>
    <row r="99" spans="1:43" s="1773" customFormat="1" ht="17.25" hidden="1" customHeight="1">
      <c r="A99" s="240"/>
      <c r="C99" s="239"/>
      <c r="D99" s="1883"/>
      <c r="E99" s="1897"/>
      <c r="F99" s="1900"/>
      <c r="G99" s="1897"/>
      <c r="H99" s="1220"/>
      <c r="I99" s="1221"/>
      <c r="J99" s="1221"/>
      <c r="K99" s="1221"/>
      <c r="L99" s="1221"/>
      <c r="M99" s="1221"/>
      <c r="N99" s="1221"/>
      <c r="O99" s="1221"/>
      <c r="P99" s="1221"/>
      <c r="Q99" s="1221"/>
      <c r="R99" s="1221"/>
      <c r="S99" s="1222"/>
      <c r="T99" s="1222"/>
      <c r="U99" s="1222"/>
      <c r="V99" s="1222"/>
      <c r="W99" s="1223"/>
      <c r="X99" s="1181"/>
      <c r="Y99" s="1181"/>
      <c r="Z99" s="1181"/>
      <c r="AA99" s="1181"/>
      <c r="AB99" s="1181"/>
      <c r="AC99" s="1181"/>
      <c r="AD99" s="1181"/>
      <c r="AE99" s="1181"/>
      <c r="AF99" s="1181"/>
      <c r="AG99" s="1181"/>
      <c r="AH99" s="1181"/>
      <c r="AI99" s="1181"/>
      <c r="AJ99" s="1181"/>
      <c r="AK99" s="1181"/>
      <c r="AL99" s="1181"/>
      <c r="AM99" s="1181"/>
      <c r="AN99" s="1181"/>
      <c r="AO99" s="1181"/>
      <c r="AP99" s="1181"/>
      <c r="AQ99" s="1181"/>
    </row>
    <row r="100" spans="1:43" s="1773" customFormat="1" ht="17.25" hidden="1" customHeight="1">
      <c r="A100" s="240"/>
      <c r="C100" s="126"/>
      <c r="D100" s="1895">
        <v>3</v>
      </c>
      <c r="E100" s="1896" t="s">
        <v>250</v>
      </c>
      <c r="F100" s="1898" t="s">
        <v>57</v>
      </c>
      <c r="G100" s="1896"/>
      <c r="H100" s="1901"/>
      <c r="I100" s="1903"/>
      <c r="J100" s="1905"/>
      <c r="K100" s="1893"/>
      <c r="L100" s="1893"/>
      <c r="M100" s="1893"/>
      <c r="N100" s="1908"/>
      <c r="O100" s="1893"/>
      <c r="P100" s="1893"/>
      <c r="Q100" s="1893"/>
      <c r="R100" s="1911"/>
      <c r="S100" s="1893"/>
      <c r="T100" s="1383"/>
      <c r="U100" s="1383"/>
      <c r="V100" s="1385"/>
      <c r="W100" s="1217"/>
      <c r="X100" s="1188"/>
      <c r="Y100" s="1188"/>
      <c r="Z100" s="1188"/>
      <c r="AA100" s="1188"/>
      <c r="AB100" s="1188"/>
      <c r="AC100" s="1188" t="s">
        <v>251</v>
      </c>
      <c r="AD100" s="1188" t="s">
        <v>252</v>
      </c>
      <c r="AE100" s="1188" t="s">
        <v>253</v>
      </c>
      <c r="AF100" s="1188" t="s">
        <v>254</v>
      </c>
      <c r="AG100" s="1188"/>
      <c r="AH100" s="1188" t="str">
        <f>IF($E$100=0,"",$E$100)</f>
        <v>Тариф на подключение (технологическое присоединение) к централизованной системе горячего водоснабжения</v>
      </c>
      <c r="AI100" s="1188" t="str">
        <f>IF($G$100=0,"",$G$100)</f>
        <v/>
      </c>
      <c r="AJ100" s="1188" t="str">
        <f>IF($J$100=0,"",$J$100)</f>
        <v/>
      </c>
      <c r="AK100" s="1188" t="str">
        <f>IF($K$100="нет","без дифференциации",IF($N$100=0,"",$N$100))</f>
        <v/>
      </c>
      <c r="AL100" s="1188" t="str">
        <f>IF($O$100="нет","без дифференциации",IF($R$100=0,"",$R$100))</f>
        <v/>
      </c>
      <c r="AM100" s="1188" t="str">
        <f>IF($S$100="нет","без дифференциации",IF($V$100=0,"",$V$100))</f>
        <v/>
      </c>
      <c r="AN100" s="1691">
        <f>$I$100</f>
        <v>0</v>
      </c>
      <c r="AO100" s="1188" t="str">
        <f>$I$100&amp;"."&amp;$M$100</f>
        <v>.</v>
      </c>
      <c r="AP100" s="1181" t="str">
        <f>$I$100&amp;"."&amp;$M$100&amp;"."&amp;$Q$100</f>
        <v>..</v>
      </c>
      <c r="AQ100" s="1181" t="str">
        <f>$I$100&amp;"."&amp;$M$100&amp;"."&amp;$Q$100&amp;"."&amp;$U$100</f>
        <v>...</v>
      </c>
    </row>
    <row r="101" spans="1:43" s="1773" customFormat="1" ht="17.25" hidden="1" customHeight="1">
      <c r="A101" s="240"/>
      <c r="C101" s="239"/>
      <c r="D101" s="1895"/>
      <c r="E101" s="1896"/>
      <c r="F101" s="1899"/>
      <c r="G101" s="1896"/>
      <c r="H101" s="1902"/>
      <c r="I101" s="1904"/>
      <c r="J101" s="1906"/>
      <c r="K101" s="1894"/>
      <c r="L101" s="1894"/>
      <c r="M101" s="1894"/>
      <c r="N101" s="1909"/>
      <c r="O101" s="1894"/>
      <c r="P101" s="1894"/>
      <c r="Q101" s="1894"/>
      <c r="R101" s="1910"/>
      <c r="S101" s="1894"/>
      <c r="T101" s="1218"/>
      <c r="U101" s="1218"/>
      <c r="V101" s="1218"/>
      <c r="W101" s="1219"/>
      <c r="X101" s="1181"/>
      <c r="Y101" s="1181"/>
      <c r="Z101" s="1181"/>
      <c r="AA101" s="1181"/>
      <c r="AB101" s="1181"/>
      <c r="AC101" s="1181"/>
      <c r="AD101" s="1181"/>
      <c r="AE101" s="1181"/>
      <c r="AF101" s="1181"/>
      <c r="AG101" s="1181"/>
      <c r="AH101" s="1181"/>
      <c r="AI101" s="1181"/>
      <c r="AJ101" s="1181"/>
      <c r="AK101" s="1181"/>
      <c r="AL101" s="1181"/>
      <c r="AM101" s="1181"/>
      <c r="AN101" s="1181"/>
      <c r="AO101" s="1181"/>
      <c r="AP101" s="1181"/>
      <c r="AQ101" s="1181"/>
    </row>
    <row r="102" spans="1:43" s="1773" customFormat="1" ht="17.25" hidden="1" customHeight="1">
      <c r="A102" s="240"/>
      <c r="C102" s="239"/>
      <c r="D102" s="1883"/>
      <c r="E102" s="1897"/>
      <c r="F102" s="1899"/>
      <c r="G102" s="1897"/>
      <c r="H102" s="1902"/>
      <c r="I102" s="1904"/>
      <c r="J102" s="1907"/>
      <c r="K102" s="1894"/>
      <c r="L102" s="1894"/>
      <c r="M102" s="1894"/>
      <c r="N102" s="1910"/>
      <c r="O102" s="1894"/>
      <c r="P102" s="1384"/>
      <c r="Q102" s="1218"/>
      <c r="R102" s="1218"/>
      <c r="S102" s="251"/>
      <c r="T102" s="251"/>
      <c r="U102" s="251"/>
      <c r="V102" s="251"/>
      <c r="W102" s="1219"/>
      <c r="X102" s="1181"/>
      <c r="Y102" s="1181"/>
      <c r="Z102" s="1181"/>
      <c r="AA102" s="1181"/>
      <c r="AB102" s="1181"/>
      <c r="AC102" s="1181"/>
      <c r="AD102" s="1181"/>
      <c r="AE102" s="1181"/>
      <c r="AF102" s="1181"/>
      <c r="AG102" s="1181"/>
      <c r="AH102" s="1181"/>
      <c r="AI102" s="1181"/>
      <c r="AJ102" s="1181"/>
      <c r="AK102" s="1181"/>
      <c r="AL102" s="1181"/>
      <c r="AM102" s="1181"/>
      <c r="AN102" s="1181"/>
      <c r="AO102" s="1181"/>
      <c r="AP102" s="1181"/>
      <c r="AQ102" s="1181"/>
    </row>
    <row r="103" spans="1:43" s="1773" customFormat="1" ht="17.25" hidden="1" customHeight="1">
      <c r="A103" s="240"/>
      <c r="C103" s="239"/>
      <c r="D103" s="1883"/>
      <c r="E103" s="1897"/>
      <c r="F103" s="1899"/>
      <c r="G103" s="1897"/>
      <c r="H103" s="1902"/>
      <c r="I103" s="1904"/>
      <c r="J103" s="1907"/>
      <c r="K103" s="1894"/>
      <c r="L103" s="1218"/>
      <c r="M103" s="1218"/>
      <c r="N103" s="1218"/>
      <c r="O103" s="1218"/>
      <c r="P103" s="1218"/>
      <c r="Q103" s="1218"/>
      <c r="R103" s="1218"/>
      <c r="S103" s="251"/>
      <c r="T103" s="251"/>
      <c r="U103" s="251"/>
      <c r="V103" s="251"/>
      <c r="W103" s="1219"/>
      <c r="X103" s="1181"/>
      <c r="Y103" s="1181"/>
      <c r="Z103" s="1181"/>
      <c r="AA103" s="1181"/>
      <c r="AB103" s="1181"/>
      <c r="AC103" s="1181"/>
      <c r="AD103" s="1181"/>
      <c r="AE103" s="1181"/>
      <c r="AF103" s="1181"/>
      <c r="AG103" s="1181"/>
      <c r="AH103" s="1181"/>
      <c r="AI103" s="1181"/>
      <c r="AJ103" s="1181"/>
      <c r="AK103" s="1181"/>
      <c r="AL103" s="1181"/>
      <c r="AM103" s="1181"/>
      <c r="AN103" s="1181"/>
      <c r="AO103" s="1181"/>
      <c r="AP103" s="1181"/>
      <c r="AQ103" s="1181"/>
    </row>
    <row r="104" spans="1:43" s="1773" customFormat="1" ht="17.25" hidden="1" customHeight="1">
      <c r="A104" s="240"/>
      <c r="C104" s="239"/>
      <c r="D104" s="1883"/>
      <c r="E104" s="1897"/>
      <c r="F104" s="1900"/>
      <c r="G104" s="1897"/>
      <c r="H104" s="1220"/>
      <c r="I104" s="1221"/>
      <c r="J104" s="1221"/>
      <c r="K104" s="1221"/>
      <c r="L104" s="1221"/>
      <c r="M104" s="1221"/>
      <c r="N104" s="1221"/>
      <c r="O104" s="1221"/>
      <c r="P104" s="1221"/>
      <c r="Q104" s="1221"/>
      <c r="R104" s="1221"/>
      <c r="S104" s="1222"/>
      <c r="T104" s="1222"/>
      <c r="U104" s="1222"/>
      <c r="V104" s="1222"/>
      <c r="W104" s="1223"/>
      <c r="X104" s="1181"/>
      <c r="Y104" s="1181"/>
      <c r="Z104" s="1181"/>
      <c r="AA104" s="1181"/>
      <c r="AB104" s="1181"/>
      <c r="AC104" s="1181"/>
      <c r="AD104" s="1181"/>
      <c r="AE104" s="1181"/>
      <c r="AF104" s="1181"/>
      <c r="AG104" s="1181"/>
      <c r="AH104" s="1181"/>
      <c r="AI104" s="1181"/>
      <c r="AJ104" s="1181"/>
      <c r="AK104" s="1181"/>
      <c r="AL104" s="1181"/>
      <c r="AM104" s="1181"/>
      <c r="AN104" s="1181"/>
      <c r="AO104" s="1181"/>
      <c r="AP104" s="1181"/>
      <c r="AQ104" s="1181"/>
    </row>
    <row r="105" spans="1:43" s="1773" customFormat="1" ht="11.25" customHeight="1">
      <c r="A105" s="191"/>
      <c r="B105" s="191"/>
      <c r="Y105" s="1181"/>
      <c r="Z105" s="1181"/>
      <c r="AA105" s="1181"/>
      <c r="AB105" s="1181"/>
      <c r="AC105" s="1181"/>
      <c r="AD105" s="1181"/>
      <c r="AE105" s="1181"/>
      <c r="AF105" s="1181"/>
      <c r="AG105" s="1181"/>
      <c r="AH105" s="1181"/>
      <c r="AI105" s="1181"/>
      <c r="AJ105" s="1181"/>
      <c r="AK105" s="1181"/>
      <c r="AL105" s="1181"/>
      <c r="AM105" s="1181"/>
      <c r="AN105" s="1181"/>
      <c r="AO105" s="1181"/>
      <c r="AP105" s="1181"/>
      <c r="AQ105" s="1181"/>
    </row>
    <row r="106" spans="1:43" s="1773" customFormat="1" ht="17.25" hidden="1" customHeight="1">
      <c r="A106" s="240"/>
      <c r="C106" s="126"/>
      <c r="D106" s="1895">
        <v>1</v>
      </c>
      <c r="E106" s="1896" t="s">
        <v>255</v>
      </c>
      <c r="F106" s="1898" t="s">
        <v>57</v>
      </c>
      <c r="G106" s="1896"/>
      <c r="H106" s="1901"/>
      <c r="I106" s="1903"/>
      <c r="J106" s="1905"/>
      <c r="K106" s="1893"/>
      <c r="L106" s="1893"/>
      <c r="M106" s="1893"/>
      <c r="N106" s="1908"/>
      <c r="O106" s="1893"/>
      <c r="P106" s="1893"/>
      <c r="Q106" s="1893"/>
      <c r="R106" s="1911"/>
      <c r="S106" s="1893"/>
      <c r="T106" s="1383"/>
      <c r="U106" s="1383"/>
      <c r="V106" s="1385"/>
      <c r="W106" s="1217"/>
      <c r="Y106" s="1188"/>
      <c r="Z106" s="1188"/>
      <c r="AA106" s="1188"/>
      <c r="AB106" s="1188"/>
      <c r="AC106" s="1188" t="s">
        <v>256</v>
      </c>
      <c r="AD106" s="1188" t="s">
        <v>257</v>
      </c>
      <c r="AE106" s="1188" t="s">
        <v>258</v>
      </c>
      <c r="AF106" s="1188" t="s">
        <v>259</v>
      </c>
      <c r="AG106" s="1188"/>
      <c r="AH106" s="1188" t="str">
        <f>IF($E$106=0,"",$E$106)</f>
        <v>Тариф на водоотведение</v>
      </c>
      <c r="AI106" s="1188" t="str">
        <f>IF($G$106=0,"",$G$106)</f>
        <v/>
      </c>
      <c r="AJ106" s="1188" t="str">
        <f>IF($J$106=0,"",$J$106)</f>
        <v/>
      </c>
      <c r="AK106" s="1188" t="str">
        <f>IF($K$106="нет","без дифференциации",IF($N$106=0,"",$N$106))</f>
        <v/>
      </c>
      <c r="AL106" s="1188" t="str">
        <f>IF($O$106="нет","без дифференциации",IF($R$106=0,"",$R$106))</f>
        <v/>
      </c>
      <c r="AM106" s="1188" t="str">
        <f>IF($S$106="нет","без дифференциации",IF($V$106=0,"",$V$106))</f>
        <v/>
      </c>
      <c r="AN106" s="1188">
        <f>$I$106</f>
        <v>0</v>
      </c>
      <c r="AO106" s="1188" t="str">
        <f>$I$106&amp;"."&amp;$M$106</f>
        <v>.</v>
      </c>
      <c r="AP106" s="1188" t="str">
        <f>$I$106&amp;"."&amp;$M$106&amp;"."&amp;$Q$106</f>
        <v>..</v>
      </c>
      <c r="AQ106" s="1188" t="str">
        <f>$I$106&amp;"."&amp;$M$106&amp;"."&amp;$Q$106&amp;"."&amp;$U$106</f>
        <v>...</v>
      </c>
    </row>
    <row r="107" spans="1:43" s="1773" customFormat="1" ht="17.25" hidden="1" customHeight="1">
      <c r="A107" s="240"/>
      <c r="C107" s="239"/>
      <c r="D107" s="1895"/>
      <c r="E107" s="1896"/>
      <c r="F107" s="1899"/>
      <c r="G107" s="1896"/>
      <c r="H107" s="1902"/>
      <c r="I107" s="1904"/>
      <c r="J107" s="1906"/>
      <c r="K107" s="1894"/>
      <c r="L107" s="1894"/>
      <c r="M107" s="1894"/>
      <c r="N107" s="1909"/>
      <c r="O107" s="1894"/>
      <c r="P107" s="1894"/>
      <c r="Q107" s="1894"/>
      <c r="R107" s="1910"/>
      <c r="S107" s="1894"/>
      <c r="T107" s="1218"/>
      <c r="U107" s="1218"/>
      <c r="V107" s="1218"/>
      <c r="W107" s="1219"/>
      <c r="Y107" s="1181"/>
      <c r="Z107" s="1181"/>
      <c r="AA107" s="1181"/>
      <c r="AB107" s="1181"/>
      <c r="AC107" s="1181"/>
      <c r="AD107" s="1181"/>
      <c r="AE107" s="1181"/>
      <c r="AF107" s="1181"/>
      <c r="AG107" s="1181"/>
      <c r="AH107" s="1181"/>
      <c r="AI107" s="1181"/>
      <c r="AJ107" s="1181"/>
      <c r="AK107" s="1181"/>
      <c r="AL107" s="1181"/>
      <c r="AM107" s="1181"/>
      <c r="AN107" s="1181"/>
      <c r="AO107" s="1181"/>
      <c r="AP107" s="1181"/>
      <c r="AQ107" s="1181"/>
    </row>
    <row r="108" spans="1:43" s="1773" customFormat="1" ht="17.25" hidden="1" customHeight="1">
      <c r="A108" s="240"/>
      <c r="C108" s="126"/>
      <c r="D108" s="1895"/>
      <c r="E108" s="1896"/>
      <c r="F108" s="1899"/>
      <c r="G108" s="1896"/>
      <c r="H108" s="1902"/>
      <c r="I108" s="1904"/>
      <c r="J108" s="1907"/>
      <c r="K108" s="1894"/>
      <c r="L108" s="1894"/>
      <c r="M108" s="1894"/>
      <c r="N108" s="1910"/>
      <c r="O108" s="1894"/>
      <c r="P108" s="1384"/>
      <c r="Q108" s="1218"/>
      <c r="R108" s="1218"/>
      <c r="S108" s="251"/>
      <c r="T108" s="251"/>
      <c r="U108" s="251"/>
      <c r="V108" s="251"/>
      <c r="W108" s="1219"/>
      <c r="Y108" s="1188"/>
      <c r="Z108" s="1188"/>
      <c r="AA108" s="1188"/>
      <c r="AB108" s="1188"/>
      <c r="AC108" s="1188"/>
      <c r="AD108" s="1188"/>
      <c r="AE108" s="1188"/>
      <c r="AF108" s="1188"/>
      <c r="AG108" s="1188"/>
      <c r="AH108" s="1188"/>
      <c r="AI108" s="1188"/>
      <c r="AJ108" s="1188"/>
      <c r="AK108" s="1188"/>
      <c r="AL108" s="1188"/>
      <c r="AM108" s="1188"/>
      <c r="AN108" s="1188"/>
      <c r="AO108" s="1188"/>
      <c r="AP108" s="1188"/>
      <c r="AQ108" s="1188"/>
    </row>
    <row r="109" spans="1:43" s="1773" customFormat="1" ht="17.25" hidden="1" customHeight="1">
      <c r="A109" s="240"/>
      <c r="C109" s="239"/>
      <c r="D109" s="1895"/>
      <c r="E109" s="1896"/>
      <c r="F109" s="1899"/>
      <c r="G109" s="1896"/>
      <c r="H109" s="1902"/>
      <c r="I109" s="1904"/>
      <c r="J109" s="1907"/>
      <c r="K109" s="1894"/>
      <c r="L109" s="1218"/>
      <c r="M109" s="1218"/>
      <c r="N109" s="1218"/>
      <c r="O109" s="1218"/>
      <c r="P109" s="1218"/>
      <c r="Q109" s="1218"/>
      <c r="R109" s="1218"/>
      <c r="S109" s="251"/>
      <c r="T109" s="251"/>
      <c r="U109" s="251"/>
      <c r="V109" s="251"/>
      <c r="W109" s="1219"/>
      <c r="Y109" s="1181"/>
      <c r="Z109" s="1181"/>
      <c r="AA109" s="1181"/>
      <c r="AB109" s="1181"/>
      <c r="AC109" s="1181"/>
      <c r="AD109" s="1181"/>
      <c r="AE109" s="1181"/>
      <c r="AF109" s="1181"/>
      <c r="AG109" s="1181"/>
      <c r="AH109" s="1181"/>
      <c r="AI109" s="1181"/>
      <c r="AJ109" s="1181"/>
      <c r="AK109" s="1181"/>
      <c r="AL109" s="1181"/>
      <c r="AM109" s="1181"/>
      <c r="AN109" s="1181"/>
      <c r="AO109" s="1181"/>
      <c r="AP109" s="1181"/>
      <c r="AQ109" s="1181"/>
    </row>
    <row r="110" spans="1:43" s="1773" customFormat="1" ht="17.25" hidden="1" customHeight="1">
      <c r="A110" s="240"/>
      <c r="C110" s="239"/>
      <c r="D110" s="1883"/>
      <c r="E110" s="1897"/>
      <c r="F110" s="1900"/>
      <c r="G110" s="1897"/>
      <c r="H110" s="1220"/>
      <c r="I110" s="1221"/>
      <c r="J110" s="1221"/>
      <c r="K110" s="1221"/>
      <c r="L110" s="1221"/>
      <c r="M110" s="1221"/>
      <c r="N110" s="1221"/>
      <c r="O110" s="1221"/>
      <c r="P110" s="1221"/>
      <c r="Q110" s="1221"/>
      <c r="R110" s="1221"/>
      <c r="S110" s="1222"/>
      <c r="T110" s="1222"/>
      <c r="U110" s="1222"/>
      <c r="V110" s="1222"/>
      <c r="W110" s="1223"/>
      <c r="Y110" s="1181"/>
      <c r="Z110" s="1181"/>
      <c r="AA110" s="1181"/>
      <c r="AB110" s="1181"/>
      <c r="AC110" s="1181"/>
      <c r="AD110" s="1181"/>
      <c r="AE110" s="1181"/>
      <c r="AF110" s="1181"/>
      <c r="AG110" s="1181"/>
      <c r="AH110" s="1181"/>
      <c r="AI110" s="1181"/>
      <c r="AJ110" s="1181"/>
      <c r="AK110" s="1181"/>
      <c r="AL110" s="1181"/>
      <c r="AM110" s="1181"/>
      <c r="AN110" s="1181"/>
      <c r="AO110" s="1181"/>
      <c r="AP110" s="1181"/>
      <c r="AQ110" s="1181"/>
    </row>
    <row r="111" spans="1:43" s="1773" customFormat="1" ht="17.25" hidden="1" customHeight="1">
      <c r="A111" s="240"/>
      <c r="C111" s="126"/>
      <c r="D111" s="1895">
        <v>2</v>
      </c>
      <c r="E111" s="1896" t="s">
        <v>260</v>
      </c>
      <c r="F111" s="1898" t="s">
        <v>57</v>
      </c>
      <c r="G111" s="1896"/>
      <c r="H111" s="1901"/>
      <c r="I111" s="1903"/>
      <c r="J111" s="1905"/>
      <c r="K111" s="1893"/>
      <c r="L111" s="1893"/>
      <c r="M111" s="1893"/>
      <c r="N111" s="1908"/>
      <c r="O111" s="1893"/>
      <c r="P111" s="1893"/>
      <c r="Q111" s="1893"/>
      <c r="R111" s="1911"/>
      <c r="S111" s="1893"/>
      <c r="T111" s="1383"/>
      <c r="U111" s="1383"/>
      <c r="V111" s="1385"/>
      <c r="W111" s="1217"/>
      <c r="X111" s="1188"/>
      <c r="Y111" s="1188"/>
      <c r="Z111" s="1188"/>
      <c r="AA111" s="1188"/>
      <c r="AB111" s="1188"/>
      <c r="AC111" s="1188" t="s">
        <v>261</v>
      </c>
      <c r="AD111" s="1188" t="s">
        <v>262</v>
      </c>
      <c r="AE111" s="1188" t="s">
        <v>263</v>
      </c>
      <c r="AF111" s="1188" t="s">
        <v>264</v>
      </c>
      <c r="AG111" s="1188"/>
      <c r="AH111" s="1188" t="str">
        <f>IF($E$111=0,"",$E$111)</f>
        <v>Тариф на транспортировку сточных вод</v>
      </c>
      <c r="AI111" s="1188" t="str">
        <f>IF($G$111=0,"",$G$111)</f>
        <v/>
      </c>
      <c r="AJ111" s="1188" t="str">
        <f>IF($J$111=0,"",$J$111)</f>
        <v/>
      </c>
      <c r="AK111" s="1188" t="str">
        <f>IF($K$111="нет","без дифференциации",IF($N$111=0,"",$N$111))</f>
        <v/>
      </c>
      <c r="AL111" s="1188" t="str">
        <f>IF($O$111="нет","без дифференциации",IF($R$111=0,"",$R$111))</f>
        <v/>
      </c>
      <c r="AM111" s="1188" t="str">
        <f>IF($S$111="нет","без дифференциации",IF($V$111=0,"",$V$111))</f>
        <v/>
      </c>
      <c r="AN111" s="1691">
        <f>$I$111</f>
        <v>0</v>
      </c>
      <c r="AO111" s="1188" t="str">
        <f>$I$111&amp;"."&amp;$M$111</f>
        <v>.</v>
      </c>
      <c r="AP111" s="1181" t="str">
        <f>$I$111&amp;"."&amp;$M$111&amp;"."&amp;$Q$111</f>
        <v>..</v>
      </c>
      <c r="AQ111" s="1181" t="str">
        <f>$I$111&amp;"."&amp;$M$111&amp;"."&amp;$Q$111&amp;"."&amp;$U$111</f>
        <v>...</v>
      </c>
    </row>
    <row r="112" spans="1:43" s="1773" customFormat="1" ht="17.25" hidden="1" customHeight="1">
      <c r="A112" s="240"/>
      <c r="C112" s="239"/>
      <c r="D112" s="1895"/>
      <c r="E112" s="1896"/>
      <c r="F112" s="1899"/>
      <c r="G112" s="1896"/>
      <c r="H112" s="1902"/>
      <c r="I112" s="1904"/>
      <c r="J112" s="1906"/>
      <c r="K112" s="1894"/>
      <c r="L112" s="1894"/>
      <c r="M112" s="1894"/>
      <c r="N112" s="1909"/>
      <c r="O112" s="1894"/>
      <c r="P112" s="1894"/>
      <c r="Q112" s="1894"/>
      <c r="R112" s="1910"/>
      <c r="S112" s="1894"/>
      <c r="T112" s="1218"/>
      <c r="U112" s="1218"/>
      <c r="V112" s="1218"/>
      <c r="W112" s="1219"/>
      <c r="X112" s="1181"/>
      <c r="Y112" s="1181"/>
      <c r="Z112" s="1181"/>
      <c r="AA112" s="1181"/>
      <c r="AB112" s="1181"/>
      <c r="AC112" s="1181"/>
      <c r="AD112" s="1181"/>
      <c r="AE112" s="1181"/>
      <c r="AF112" s="1181"/>
      <c r="AG112" s="1181"/>
      <c r="AH112" s="1181"/>
      <c r="AI112" s="1181"/>
      <c r="AJ112" s="1181"/>
      <c r="AK112" s="1181"/>
      <c r="AL112" s="1181"/>
      <c r="AM112" s="1181"/>
      <c r="AN112" s="1181"/>
      <c r="AO112" s="1181"/>
      <c r="AP112" s="1181"/>
      <c r="AQ112" s="1181"/>
    </row>
    <row r="113" spans="1:43" s="1773" customFormat="1" ht="17.25" hidden="1" customHeight="1">
      <c r="A113" s="240"/>
      <c r="C113" s="239"/>
      <c r="D113" s="1883"/>
      <c r="E113" s="1897"/>
      <c r="F113" s="1899"/>
      <c r="G113" s="1897"/>
      <c r="H113" s="1902"/>
      <c r="I113" s="1904"/>
      <c r="J113" s="1907"/>
      <c r="K113" s="1894"/>
      <c r="L113" s="1894"/>
      <c r="M113" s="1894"/>
      <c r="N113" s="1910"/>
      <c r="O113" s="1894"/>
      <c r="P113" s="1384"/>
      <c r="Q113" s="1218"/>
      <c r="R113" s="1218"/>
      <c r="S113" s="251"/>
      <c r="T113" s="251"/>
      <c r="U113" s="251"/>
      <c r="V113" s="251"/>
      <c r="W113" s="1219"/>
      <c r="X113" s="1181"/>
      <c r="Y113" s="1181"/>
      <c r="Z113" s="1181"/>
      <c r="AA113" s="1181"/>
      <c r="AB113" s="1181"/>
      <c r="AC113" s="1181"/>
      <c r="AD113" s="1181"/>
      <c r="AE113" s="1181"/>
      <c r="AF113" s="1181"/>
      <c r="AG113" s="1181"/>
      <c r="AH113" s="1181"/>
      <c r="AI113" s="1181"/>
      <c r="AJ113" s="1181"/>
      <c r="AK113" s="1181"/>
      <c r="AL113" s="1181"/>
      <c r="AM113" s="1181"/>
      <c r="AN113" s="1181"/>
      <c r="AO113" s="1181"/>
      <c r="AP113" s="1181"/>
      <c r="AQ113" s="1181"/>
    </row>
    <row r="114" spans="1:43" s="1773" customFormat="1" ht="17.25" hidden="1" customHeight="1">
      <c r="A114" s="240"/>
      <c r="C114" s="239"/>
      <c r="D114" s="1883"/>
      <c r="E114" s="1897"/>
      <c r="F114" s="1899"/>
      <c r="G114" s="1897"/>
      <c r="H114" s="1902"/>
      <c r="I114" s="1904"/>
      <c r="J114" s="1907"/>
      <c r="K114" s="1894"/>
      <c r="L114" s="1218"/>
      <c r="M114" s="1218"/>
      <c r="N114" s="1218"/>
      <c r="O114" s="1218"/>
      <c r="P114" s="1218"/>
      <c r="Q114" s="1218"/>
      <c r="R114" s="1218"/>
      <c r="S114" s="251"/>
      <c r="T114" s="251"/>
      <c r="U114" s="251"/>
      <c r="V114" s="251"/>
      <c r="W114" s="1219"/>
      <c r="X114" s="1181"/>
      <c r="Y114" s="1181"/>
      <c r="Z114" s="1181"/>
      <c r="AA114" s="1181"/>
      <c r="AB114" s="1181"/>
      <c r="AC114" s="1181"/>
      <c r="AD114" s="1181"/>
      <c r="AE114" s="1181"/>
      <c r="AF114" s="1181"/>
      <c r="AG114" s="1181"/>
      <c r="AH114" s="1181"/>
      <c r="AI114" s="1181"/>
      <c r="AJ114" s="1181"/>
      <c r="AK114" s="1181"/>
      <c r="AL114" s="1181"/>
      <c r="AM114" s="1181"/>
      <c r="AN114" s="1181"/>
      <c r="AO114" s="1181"/>
      <c r="AP114" s="1181"/>
      <c r="AQ114" s="1181"/>
    </row>
    <row r="115" spans="1:43" s="1773" customFormat="1" ht="17.25" hidden="1" customHeight="1">
      <c r="A115" s="240"/>
      <c r="C115" s="239"/>
      <c r="D115" s="1883"/>
      <c r="E115" s="1897"/>
      <c r="F115" s="1900"/>
      <c r="G115" s="1897"/>
      <c r="H115" s="1220"/>
      <c r="I115" s="1221"/>
      <c r="J115" s="1221"/>
      <c r="K115" s="1221"/>
      <c r="L115" s="1221"/>
      <c r="M115" s="1221"/>
      <c r="N115" s="1221"/>
      <c r="O115" s="1221"/>
      <c r="P115" s="1221"/>
      <c r="Q115" s="1221"/>
      <c r="R115" s="1221"/>
      <c r="S115" s="1222"/>
      <c r="T115" s="1222"/>
      <c r="U115" s="1222"/>
      <c r="V115" s="1222"/>
      <c r="W115" s="1223"/>
      <c r="X115" s="1181"/>
      <c r="Y115" s="1181"/>
      <c r="Z115" s="1181"/>
      <c r="AA115" s="1181"/>
      <c r="AB115" s="1181"/>
      <c r="AC115" s="1181"/>
      <c r="AD115" s="1181"/>
      <c r="AE115" s="1181"/>
      <c r="AF115" s="1181"/>
      <c r="AG115" s="1181"/>
      <c r="AH115" s="1181"/>
      <c r="AI115" s="1181"/>
      <c r="AJ115" s="1181"/>
      <c r="AK115" s="1181"/>
      <c r="AL115" s="1181"/>
      <c r="AM115" s="1181"/>
      <c r="AN115" s="1181"/>
      <c r="AO115" s="1181"/>
      <c r="AP115" s="1181"/>
      <c r="AQ115" s="1181"/>
    </row>
    <row r="116" spans="1:43" s="1773" customFormat="1" ht="17.25" hidden="1" customHeight="1">
      <c r="A116" s="240"/>
      <c r="C116" s="126"/>
      <c r="D116" s="1895">
        <v>3</v>
      </c>
      <c r="E116" s="1896" t="s">
        <v>265</v>
      </c>
      <c r="F116" s="1898" t="s">
        <v>57</v>
      </c>
      <c r="G116" s="1896"/>
      <c r="H116" s="1901"/>
      <c r="I116" s="1903"/>
      <c r="J116" s="1905"/>
      <c r="K116" s="1893"/>
      <c r="L116" s="1893"/>
      <c r="M116" s="1893"/>
      <c r="N116" s="1908"/>
      <c r="O116" s="1893"/>
      <c r="P116" s="1893"/>
      <c r="Q116" s="1893"/>
      <c r="R116" s="1911"/>
      <c r="S116" s="1893"/>
      <c r="T116" s="1383"/>
      <c r="U116" s="1383"/>
      <c r="V116" s="1385"/>
      <c r="W116" s="1217"/>
      <c r="X116" s="1188"/>
      <c r="Y116" s="1188"/>
      <c r="Z116" s="1188"/>
      <c r="AA116" s="1188"/>
      <c r="AB116" s="1188"/>
      <c r="AC116" s="1188" t="s">
        <v>266</v>
      </c>
      <c r="AD116" s="1188" t="s">
        <v>267</v>
      </c>
      <c r="AE116" s="1188" t="s">
        <v>268</v>
      </c>
      <c r="AF116" s="1188" t="s">
        <v>269</v>
      </c>
      <c r="AG116" s="1188"/>
      <c r="AH116" s="1188" t="str">
        <f>IF($E$116=0,"",$E$116)</f>
        <v>Тариф на подключение (технологическое присоединение) к централизованной системе водоотведения</v>
      </c>
      <c r="AI116" s="1188" t="str">
        <f>IF($G$116=0,"",$G$116)</f>
        <v/>
      </c>
      <c r="AJ116" s="1188" t="str">
        <f>IF($J$116=0,"",$J$116)</f>
        <v/>
      </c>
      <c r="AK116" s="1188" t="str">
        <f>IF($K$116="нет","без дифференциации",IF($N$116=0,"",$N$116))</f>
        <v/>
      </c>
      <c r="AL116" s="1188" t="str">
        <f>IF($O$116="нет","без дифференциации",IF($R$116=0,"",$R$116))</f>
        <v/>
      </c>
      <c r="AM116" s="1188" t="str">
        <f>IF($S$116="нет","без дифференциации",IF($V$116=0,"",$V$116))</f>
        <v/>
      </c>
      <c r="AN116" s="1691">
        <f>$I$116</f>
        <v>0</v>
      </c>
      <c r="AO116" s="1188" t="str">
        <f>$I$116&amp;"."&amp;$M$116</f>
        <v>.</v>
      </c>
      <c r="AP116" s="1181" t="str">
        <f>$I$116&amp;"."&amp;$M$116&amp;"."&amp;$Q$116</f>
        <v>..</v>
      </c>
      <c r="AQ116" s="1181" t="str">
        <f>$I$116&amp;"."&amp;$M$116&amp;"."&amp;$Q$116&amp;"."&amp;$U$116</f>
        <v>...</v>
      </c>
    </row>
    <row r="117" spans="1:43" s="1773" customFormat="1" ht="17.25" hidden="1" customHeight="1">
      <c r="A117" s="240"/>
      <c r="C117" s="239"/>
      <c r="D117" s="1895"/>
      <c r="E117" s="1896"/>
      <c r="F117" s="1899"/>
      <c r="G117" s="1896"/>
      <c r="H117" s="1902"/>
      <c r="I117" s="1904"/>
      <c r="J117" s="1906"/>
      <c r="K117" s="1894"/>
      <c r="L117" s="1894"/>
      <c r="M117" s="1894"/>
      <c r="N117" s="1909"/>
      <c r="O117" s="1894"/>
      <c r="P117" s="1894"/>
      <c r="Q117" s="1894"/>
      <c r="R117" s="1910"/>
      <c r="S117" s="1894"/>
      <c r="T117" s="1218"/>
      <c r="U117" s="1218"/>
      <c r="V117" s="1218"/>
      <c r="W117" s="1219"/>
      <c r="X117" s="1181"/>
      <c r="Y117" s="1181"/>
      <c r="Z117" s="1181"/>
      <c r="AA117" s="1181"/>
      <c r="AB117" s="1181"/>
      <c r="AC117" s="1181"/>
      <c r="AD117" s="1181"/>
      <c r="AE117" s="1181"/>
      <c r="AF117" s="1181"/>
      <c r="AG117" s="1181"/>
      <c r="AH117" s="1181"/>
      <c r="AI117" s="1181"/>
      <c r="AJ117" s="1181"/>
      <c r="AK117" s="1181"/>
      <c r="AL117" s="1181"/>
      <c r="AM117" s="1181"/>
      <c r="AN117" s="1181"/>
      <c r="AO117" s="1181"/>
      <c r="AP117" s="1181"/>
      <c r="AQ117" s="1181"/>
    </row>
    <row r="118" spans="1:43" s="1773" customFormat="1" ht="17.25" hidden="1" customHeight="1">
      <c r="A118" s="240"/>
      <c r="C118" s="239"/>
      <c r="D118" s="1883"/>
      <c r="E118" s="1897"/>
      <c r="F118" s="1899"/>
      <c r="G118" s="1897"/>
      <c r="H118" s="1902"/>
      <c r="I118" s="1904"/>
      <c r="J118" s="1907"/>
      <c r="K118" s="1894"/>
      <c r="L118" s="1894"/>
      <c r="M118" s="1894"/>
      <c r="N118" s="1910"/>
      <c r="O118" s="1894"/>
      <c r="P118" s="1384"/>
      <c r="Q118" s="1218"/>
      <c r="R118" s="1218"/>
      <c r="S118" s="251"/>
      <c r="T118" s="251"/>
      <c r="U118" s="251"/>
      <c r="V118" s="251"/>
      <c r="W118" s="1219"/>
      <c r="X118" s="1181"/>
      <c r="Y118" s="1181"/>
      <c r="Z118" s="1181"/>
      <c r="AA118" s="1181"/>
      <c r="AB118" s="1181"/>
      <c r="AC118" s="1181"/>
      <c r="AD118" s="1181"/>
      <c r="AE118" s="1181"/>
      <c r="AF118" s="1181"/>
      <c r="AG118" s="1181"/>
      <c r="AH118" s="1181"/>
      <c r="AI118" s="1181"/>
      <c r="AJ118" s="1181"/>
      <c r="AK118" s="1181"/>
      <c r="AL118" s="1181"/>
      <c r="AM118" s="1181"/>
      <c r="AN118" s="1181"/>
      <c r="AO118" s="1181"/>
      <c r="AP118" s="1181"/>
      <c r="AQ118" s="1181"/>
    </row>
    <row r="119" spans="1:43" s="1773" customFormat="1" ht="17.25" hidden="1" customHeight="1">
      <c r="A119" s="240"/>
      <c r="C119" s="239"/>
      <c r="D119" s="1883"/>
      <c r="E119" s="1897"/>
      <c r="F119" s="1899"/>
      <c r="G119" s="1897"/>
      <c r="H119" s="1902"/>
      <c r="I119" s="1904"/>
      <c r="J119" s="1907"/>
      <c r="K119" s="1894"/>
      <c r="L119" s="1218"/>
      <c r="M119" s="1218"/>
      <c r="N119" s="1218"/>
      <c r="O119" s="1218"/>
      <c r="P119" s="1218"/>
      <c r="Q119" s="1218"/>
      <c r="R119" s="1218"/>
      <c r="S119" s="251"/>
      <c r="T119" s="251"/>
      <c r="U119" s="251"/>
      <c r="V119" s="251"/>
      <c r="W119" s="1219"/>
      <c r="X119" s="1181"/>
      <c r="Y119" s="1181"/>
      <c r="Z119" s="1181"/>
      <c r="AA119" s="1181"/>
      <c r="AB119" s="1181"/>
      <c r="AC119" s="1181"/>
      <c r="AD119" s="1181"/>
      <c r="AE119" s="1181"/>
      <c r="AF119" s="1181"/>
      <c r="AG119" s="1181"/>
      <c r="AH119" s="1181"/>
      <c r="AI119" s="1181"/>
      <c r="AJ119" s="1181"/>
      <c r="AK119" s="1181"/>
      <c r="AL119" s="1181"/>
      <c r="AM119" s="1181"/>
      <c r="AN119" s="1181"/>
      <c r="AO119" s="1181"/>
      <c r="AP119" s="1181"/>
      <c r="AQ119" s="1181"/>
    </row>
    <row r="120" spans="1:43" s="1773" customFormat="1" ht="17.25" hidden="1" customHeight="1">
      <c r="A120" s="240"/>
      <c r="C120" s="239"/>
      <c r="D120" s="1883"/>
      <c r="E120" s="1897"/>
      <c r="F120" s="1900"/>
      <c r="G120" s="1897"/>
      <c r="H120" s="1220"/>
      <c r="I120" s="1221"/>
      <c r="J120" s="1221"/>
      <c r="K120" s="1221"/>
      <c r="L120" s="1221"/>
      <c r="M120" s="1221"/>
      <c r="N120" s="1221"/>
      <c r="O120" s="1221"/>
      <c r="P120" s="1221"/>
      <c r="Q120" s="1221"/>
      <c r="R120" s="1221"/>
      <c r="S120" s="1222"/>
      <c r="T120" s="1222"/>
      <c r="U120" s="1222"/>
      <c r="V120" s="1222"/>
      <c r="W120" s="1223"/>
      <c r="X120" s="1181"/>
      <c r="Y120" s="1181"/>
      <c r="Z120" s="1181"/>
      <c r="AA120" s="1181"/>
      <c r="AB120" s="1181"/>
      <c r="AC120" s="1181"/>
      <c r="AD120" s="1181"/>
      <c r="AE120" s="1181"/>
      <c r="AF120" s="1181"/>
      <c r="AG120" s="1181"/>
      <c r="AH120" s="1181"/>
      <c r="AI120" s="1181"/>
      <c r="AJ120" s="1181"/>
      <c r="AK120" s="1181"/>
      <c r="AL120" s="1181"/>
      <c r="AM120" s="1181"/>
      <c r="AN120" s="1181"/>
      <c r="AO120" s="1181"/>
      <c r="AP120" s="1181"/>
      <c r="AQ120" s="1181"/>
    </row>
    <row r="124" spans="1:43" ht="11.25" customHeight="1">
      <c r="E124" s="1269"/>
    </row>
    <row r="125" spans="1:43" ht="11.25" customHeight="1">
      <c r="E125" s="1269"/>
    </row>
    <row r="126" spans="1:43" ht="11.25" customHeight="1">
      <c r="E126" s="1269"/>
    </row>
    <row r="127" spans="1:43" ht="11.25" customHeight="1">
      <c r="E127" s="1269"/>
    </row>
    <row r="128" spans="1:43" ht="11.25" customHeight="1">
      <c r="E128" s="1269"/>
    </row>
    <row r="129" spans="5:5" ht="11.25" customHeight="1">
      <c r="E129" s="1269"/>
    </row>
    <row r="130" spans="5:5" ht="11.25" customHeight="1">
      <c r="E130" s="1269"/>
    </row>
  </sheetData>
  <sheetProtection formatColumns="0" formatRows="0" insertRows="0" deleteColumns="0" deleteRows="0" sort="0" autoFilter="0"/>
  <mergeCells count="331">
    <mergeCell ref="M84:M86"/>
    <mergeCell ref="N84:N86"/>
    <mergeCell ref="O84:O86"/>
    <mergeCell ref="P84:P85"/>
    <mergeCell ref="Q84:Q85"/>
    <mergeCell ref="R84:R85"/>
    <mergeCell ref="S84:S85"/>
    <mergeCell ref="D84:D88"/>
    <mergeCell ref="E84:E88"/>
    <mergeCell ref="F84:F88"/>
    <mergeCell ref="G84:G88"/>
    <mergeCell ref="H84:H87"/>
    <mergeCell ref="I84:I87"/>
    <mergeCell ref="J84:J87"/>
    <mergeCell ref="K84:K87"/>
    <mergeCell ref="L84:L86"/>
    <mergeCell ref="M79:M81"/>
    <mergeCell ref="N79:N81"/>
    <mergeCell ref="O79:O81"/>
    <mergeCell ref="P79:P80"/>
    <mergeCell ref="Q79:Q80"/>
    <mergeCell ref="R79:R80"/>
    <mergeCell ref="S79:S80"/>
    <mergeCell ref="D74:D78"/>
    <mergeCell ref="E74:E78"/>
    <mergeCell ref="M74:M76"/>
    <mergeCell ref="D79:D83"/>
    <mergeCell ref="E79:E83"/>
    <mergeCell ref="F79:F83"/>
    <mergeCell ref="G79:G83"/>
    <mergeCell ref="H79:H82"/>
    <mergeCell ref="I79:I82"/>
    <mergeCell ref="J79:J82"/>
    <mergeCell ref="K79:K82"/>
    <mergeCell ref="L79:L81"/>
    <mergeCell ref="F74:F78"/>
    <mergeCell ref="G74:G78"/>
    <mergeCell ref="H74:H77"/>
    <mergeCell ref="I74:I77"/>
    <mergeCell ref="J74:J77"/>
    <mergeCell ref="L74:L76"/>
    <mergeCell ref="Q69:Q70"/>
    <mergeCell ref="R69:R70"/>
    <mergeCell ref="S69:S70"/>
    <mergeCell ref="K69:K72"/>
    <mergeCell ref="K64:K67"/>
    <mergeCell ref="N69:N71"/>
    <mergeCell ref="O69:O71"/>
    <mergeCell ref="P69:P70"/>
    <mergeCell ref="S74:S75"/>
    <mergeCell ref="N74:N76"/>
    <mergeCell ref="O74:O76"/>
    <mergeCell ref="P74:P75"/>
    <mergeCell ref="Q74:Q75"/>
    <mergeCell ref="R74:R75"/>
    <mergeCell ref="L69:L71"/>
    <mergeCell ref="N64:N66"/>
    <mergeCell ref="O64:O66"/>
    <mergeCell ref="P64:P65"/>
    <mergeCell ref="Q64:Q65"/>
    <mergeCell ref="R64:R65"/>
    <mergeCell ref="S64:S65"/>
    <mergeCell ref="M69:M71"/>
    <mergeCell ref="W9:W10"/>
    <mergeCell ref="O9:R9"/>
    <mergeCell ref="K9:N9"/>
    <mergeCell ref="T11:U11"/>
    <mergeCell ref="S9:V9"/>
    <mergeCell ref="T10:U10"/>
    <mergeCell ref="D64:D68"/>
    <mergeCell ref="E64:E68"/>
    <mergeCell ref="D69:D73"/>
    <mergeCell ref="E69:E73"/>
    <mergeCell ref="F69:F73"/>
    <mergeCell ref="G69:G73"/>
    <mergeCell ref="H69:H72"/>
    <mergeCell ref="I69:I72"/>
    <mergeCell ref="J69:J72"/>
    <mergeCell ref="F64:F68"/>
    <mergeCell ref="G64:G68"/>
    <mergeCell ref="H64:H67"/>
    <mergeCell ref="I64:I67"/>
    <mergeCell ref="J64:J67"/>
    <mergeCell ref="K13:K16"/>
    <mergeCell ref="G18:G22"/>
    <mergeCell ref="K18:K21"/>
    <mergeCell ref="N23:N25"/>
    <mergeCell ref="D5:J5"/>
    <mergeCell ref="D9:D10"/>
    <mergeCell ref="D7:J7"/>
    <mergeCell ref="G9:G10"/>
    <mergeCell ref="H9:I10"/>
    <mergeCell ref="D6:J6"/>
    <mergeCell ref="D13:D17"/>
    <mergeCell ref="E13:E17"/>
    <mergeCell ref="G13:G17"/>
    <mergeCell ref="H13:H16"/>
    <mergeCell ref="J9:J10"/>
    <mergeCell ref="H11:I11"/>
    <mergeCell ref="E9:F9"/>
    <mergeCell ref="F13:F17"/>
    <mergeCell ref="I13:I16"/>
    <mergeCell ref="J13:J16"/>
    <mergeCell ref="L10:M10"/>
    <mergeCell ref="P10:Q10"/>
    <mergeCell ref="L11:M11"/>
    <mergeCell ref="P11:Q11"/>
    <mergeCell ref="K23:K26"/>
    <mergeCell ref="L23:L25"/>
    <mergeCell ref="P13:P14"/>
    <mergeCell ref="P23:P24"/>
    <mergeCell ref="Q23:Q24"/>
    <mergeCell ref="P18:P19"/>
    <mergeCell ref="O18:O20"/>
    <mergeCell ref="L13:L15"/>
    <mergeCell ref="M13:M15"/>
    <mergeCell ref="N13:N15"/>
    <mergeCell ref="O13:O15"/>
    <mergeCell ref="Q13:Q14"/>
    <mergeCell ref="D18:D22"/>
    <mergeCell ref="E18:E22"/>
    <mergeCell ref="F18:F22"/>
    <mergeCell ref="Q18:Q19"/>
    <mergeCell ref="R18:R19"/>
    <mergeCell ref="M23:M25"/>
    <mergeCell ref="R23:R24"/>
    <mergeCell ref="O23:O25"/>
    <mergeCell ref="H18:H21"/>
    <mergeCell ref="I18:I21"/>
    <mergeCell ref="J18:J21"/>
    <mergeCell ref="D23:D27"/>
    <mergeCell ref="E23:E27"/>
    <mergeCell ref="F23:F27"/>
    <mergeCell ref="H23:H26"/>
    <mergeCell ref="I23:I26"/>
    <mergeCell ref="J23:J26"/>
    <mergeCell ref="G23:G27"/>
    <mergeCell ref="L18:L20"/>
    <mergeCell ref="M18:M20"/>
    <mergeCell ref="N18:N20"/>
    <mergeCell ref="D48:D52"/>
    <mergeCell ref="E48:E52"/>
    <mergeCell ref="F48:F52"/>
    <mergeCell ref="H48:H51"/>
    <mergeCell ref="N38:N40"/>
    <mergeCell ref="G33:G37"/>
    <mergeCell ref="K33:K36"/>
    <mergeCell ref="G48:G52"/>
    <mergeCell ref="K48:K51"/>
    <mergeCell ref="N48:N50"/>
    <mergeCell ref="I48:I51"/>
    <mergeCell ref="J48:J51"/>
    <mergeCell ref="L48:L50"/>
    <mergeCell ref="M48:M50"/>
    <mergeCell ref="L38:L40"/>
    <mergeCell ref="M38:M40"/>
    <mergeCell ref="K38:K41"/>
    <mergeCell ref="D38:D42"/>
    <mergeCell ref="I38:I41"/>
    <mergeCell ref="J38:J41"/>
    <mergeCell ref="I33:I36"/>
    <mergeCell ref="J33:J36"/>
    <mergeCell ref="L33:L35"/>
    <mergeCell ref="M33:M35"/>
    <mergeCell ref="D33:D37"/>
    <mergeCell ref="Q28:Q29"/>
    <mergeCell ref="R28:R29"/>
    <mergeCell ref="D43:D47"/>
    <mergeCell ref="E43:E47"/>
    <mergeCell ref="F43:F47"/>
    <mergeCell ref="G43:G47"/>
    <mergeCell ref="H43:H46"/>
    <mergeCell ref="I43:I46"/>
    <mergeCell ref="J43:J46"/>
    <mergeCell ref="K43:K46"/>
    <mergeCell ref="L43:L45"/>
    <mergeCell ref="D28:D32"/>
    <mergeCell ref="E28:E32"/>
    <mergeCell ref="F28:F32"/>
    <mergeCell ref="H28:H31"/>
    <mergeCell ref="I28:I31"/>
    <mergeCell ref="N28:N30"/>
    <mergeCell ref="P38:P39"/>
    <mergeCell ref="O33:O35"/>
    <mergeCell ref="Q38:Q39"/>
    <mergeCell ref="R38:R39"/>
    <mergeCell ref="O38:O40"/>
    <mergeCell ref="J28:J31"/>
    <mergeCell ref="G28:G32"/>
    <mergeCell ref="K28:K31"/>
    <mergeCell ref="S28:S29"/>
    <mergeCell ref="S33:S34"/>
    <mergeCell ref="S38:S39"/>
    <mergeCell ref="O28:O30"/>
    <mergeCell ref="E33:E37"/>
    <mergeCell ref="F33:F37"/>
    <mergeCell ref="H33:H36"/>
    <mergeCell ref="L28:L30"/>
    <mergeCell ref="M28:M30"/>
    <mergeCell ref="P33:P34"/>
    <mergeCell ref="Q33:Q34"/>
    <mergeCell ref="R33:R34"/>
    <mergeCell ref="P28:P29"/>
    <mergeCell ref="S18:S19"/>
    <mergeCell ref="M90:M92"/>
    <mergeCell ref="N90:N92"/>
    <mergeCell ref="O90:O92"/>
    <mergeCell ref="P90:P91"/>
    <mergeCell ref="Q90:Q91"/>
    <mergeCell ref="R90:R91"/>
    <mergeCell ref="S90:S91"/>
    <mergeCell ref="O48:O50"/>
    <mergeCell ref="E62:W62"/>
    <mergeCell ref="E54:W54"/>
    <mergeCell ref="E55:W55"/>
    <mergeCell ref="E56:W56"/>
    <mergeCell ref="E57:W57"/>
    <mergeCell ref="E58:W58"/>
    <mergeCell ref="L64:L66"/>
    <mergeCell ref="M64:M66"/>
    <mergeCell ref="E60:W60"/>
    <mergeCell ref="E61:W61"/>
    <mergeCell ref="K74:K77"/>
    <mergeCell ref="E38:E42"/>
    <mergeCell ref="F38:F42"/>
    <mergeCell ref="H38:H41"/>
    <mergeCell ref="G38:G42"/>
    <mergeCell ref="R13:R14"/>
    <mergeCell ref="S13:S14"/>
    <mergeCell ref="M43:M45"/>
    <mergeCell ref="N43:N45"/>
    <mergeCell ref="O43:O45"/>
    <mergeCell ref="N33:N35"/>
    <mergeCell ref="D90:D94"/>
    <mergeCell ref="E90:E94"/>
    <mergeCell ref="F90:F94"/>
    <mergeCell ref="G90:G94"/>
    <mergeCell ref="H90:H93"/>
    <mergeCell ref="I90:I93"/>
    <mergeCell ref="J90:J93"/>
    <mergeCell ref="K90:K93"/>
    <mergeCell ref="L90:L92"/>
    <mergeCell ref="P48:P49"/>
    <mergeCell ref="Q48:Q49"/>
    <mergeCell ref="R48:R49"/>
    <mergeCell ref="S48:S49"/>
    <mergeCell ref="P43:P44"/>
    <mergeCell ref="Q43:Q44"/>
    <mergeCell ref="R43:R44"/>
    <mergeCell ref="S43:S44"/>
    <mergeCell ref="S23:S24"/>
    <mergeCell ref="P100:P101"/>
    <mergeCell ref="Q100:Q101"/>
    <mergeCell ref="R100:R101"/>
    <mergeCell ref="S100:S101"/>
    <mergeCell ref="D95:D99"/>
    <mergeCell ref="E95:E99"/>
    <mergeCell ref="F95:F99"/>
    <mergeCell ref="G95:G99"/>
    <mergeCell ref="H95:H98"/>
    <mergeCell ref="I95:I98"/>
    <mergeCell ref="J95:J98"/>
    <mergeCell ref="K95:K98"/>
    <mergeCell ref="L95:L97"/>
    <mergeCell ref="S106:S107"/>
    <mergeCell ref="D106:D110"/>
    <mergeCell ref="E106:E110"/>
    <mergeCell ref="F106:F110"/>
    <mergeCell ref="G106:G110"/>
    <mergeCell ref="M95:M97"/>
    <mergeCell ref="N95:N97"/>
    <mergeCell ref="O95:O97"/>
    <mergeCell ref="P95:P96"/>
    <mergeCell ref="Q95:Q96"/>
    <mergeCell ref="R95:R96"/>
    <mergeCell ref="S95:S96"/>
    <mergeCell ref="D100:D104"/>
    <mergeCell ref="E100:E104"/>
    <mergeCell ref="F100:F104"/>
    <mergeCell ref="G100:G104"/>
    <mergeCell ref="H100:H103"/>
    <mergeCell ref="I100:I103"/>
    <mergeCell ref="J100:J103"/>
    <mergeCell ref="K100:K103"/>
    <mergeCell ref="L100:L102"/>
    <mergeCell ref="M100:M102"/>
    <mergeCell ref="N100:N102"/>
    <mergeCell ref="O100:O102"/>
    <mergeCell ref="O106:O108"/>
    <mergeCell ref="M111:M113"/>
    <mergeCell ref="N111:N113"/>
    <mergeCell ref="O111:O113"/>
    <mergeCell ref="P106:P107"/>
    <mergeCell ref="Q106:Q107"/>
    <mergeCell ref="R106:R107"/>
    <mergeCell ref="P111:P112"/>
    <mergeCell ref="Q111:Q112"/>
    <mergeCell ref="R111:R112"/>
    <mergeCell ref="K111:K114"/>
    <mergeCell ref="L111:L113"/>
    <mergeCell ref="H106:H109"/>
    <mergeCell ref="I106:I109"/>
    <mergeCell ref="J106:J109"/>
    <mergeCell ref="K106:K109"/>
    <mergeCell ref="L106:L108"/>
    <mergeCell ref="M106:M108"/>
    <mergeCell ref="N106:N108"/>
    <mergeCell ref="S111:S112"/>
    <mergeCell ref="D116:D120"/>
    <mergeCell ref="E116:E120"/>
    <mergeCell ref="F116:F120"/>
    <mergeCell ref="G116:G120"/>
    <mergeCell ref="H116:H119"/>
    <mergeCell ref="I116:I119"/>
    <mergeCell ref="J116:J119"/>
    <mergeCell ref="K116:K119"/>
    <mergeCell ref="L116:L118"/>
    <mergeCell ref="M116:M118"/>
    <mergeCell ref="N116:N118"/>
    <mergeCell ref="O116:O118"/>
    <mergeCell ref="P116:P117"/>
    <mergeCell ref="Q116:Q117"/>
    <mergeCell ref="R116:R117"/>
    <mergeCell ref="S116:S117"/>
    <mergeCell ref="D111:D115"/>
    <mergeCell ref="E111:E115"/>
    <mergeCell ref="F111:F115"/>
    <mergeCell ref="G111:G115"/>
    <mergeCell ref="H111:H114"/>
    <mergeCell ref="I111:I114"/>
    <mergeCell ref="J111:J114"/>
  </mergeCells>
  <dataValidations count="4">
    <dataValidation allowBlank="1" showInputMessage="1" showErrorMessage="1" prompt="Выберите виды деятельности, выполнив двойной щелчок левой кнопки мыши по ячейке." sqref="G13:G52 G64:G88 G90:G104 G106:G120"/>
    <dataValidation type="list" allowBlank="1" showInputMessage="1" showErrorMessage="1" errorTitle="Ошибка" error="Выберите значение из списка"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43:N45 N18:N20 N38:N40 N23:N25 N33:N35 N13:N15 N28:N30 N64:N66 N79:N81 N84:N86 N69:N71 N74:N76 N48:N50 N90:N92 N95:N97 N100:N102 N111:N113 N106:N108 N116:N118">
      <formula1>DESCRIPTION_TERRITORY</formula1>
    </dataValidation>
    <dataValidation type="textLength" operator="lessThanOrEqual" allowBlank="1" showInputMessage="1" showErrorMessage="1" errorTitle="Ошибка" error="Допускается ввод не более 900 символов!" sqref="J33:J34 J13:J14 J43:J44 R43:R44 V43:W43 J18:J19 J38:J39 J23:J24 R33:R34 R13:R14 R18:R19 R38:R39 R23:R24 V33:W33 V13:W13 V18:W18 V38:W38 V23:W23 J28:J29 R28:R29 V28:W28 J64:J65 R64:R65 V64:W64 J69:J70 R69:R70 V69:W69 J79:J80 R79:R80 V79:W79 J74:J75 R74:R75 V74:W74 J84:J85 R84:R85 V84:W84 J48:J49 R48:R49 V48:W48 J90:J91 R90:R91 V90:W90 J95:J96 R95:R96 V95:W95 J100:J101 R100:R101 V100:W100 J111:J112 R111:R112 V111:W111 J106:J107 R106:R107 V106:W106 J116:J117 R116:R117 V116:W116">
      <formula1>900</formula1>
    </dataValidation>
    <dataValidation allowBlank="1" showInputMessage="1" showErrorMessage="1" prompt="Для выбора выполните двойной щелчок левой клавиши мыши по соответствующей ячейке." sqref="K33:K34 K13:K14 K43:K44 O43:O44 S43:S44 K18:K19 K38:K39 K23:K24 O33:O34 O18:O19 O38:O39 O23:O24 S33:S34 S18:S19 S38:S39 S23:S24 F13:F52 O13:O14 S13:S14 K28:K29 O28:O29 S28:S29 K64:K65 O64:O65 S64:S65 K69:K70 O69:O70 S69:S70 K79:K80 O79:O80 S79:S80 K74:K75 O74:O75 K84:K85 O84:O85 S48:S49 S74:S75 S84:S85 K48:K49 O48:O49 F64:F88 O90:O91 S90:S91 O95:O96 S95:S96 S100:S101 K90:K91 K95:K96 K100:K101 O100:O101 F90:F104 K111:K112 O111:O112 K106:K107 O106:O107 S111:S112 F106:F120 S106:S107 K116:K117 O116:O117 S116:S117"/>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CCFF"/>
  </sheetPr>
  <dimension ref="A1:BL49"/>
  <sheetViews>
    <sheetView showGridLines="0" topLeftCell="C3" zoomScale="90" workbookViewId="0"/>
  </sheetViews>
  <sheetFormatPr defaultColWidth="9.140625" defaultRowHeight="11.25" customHeight="1"/>
  <cols>
    <col min="1" max="2" width="9.140625" style="1807" hidden="1"/>
    <col min="3" max="4" width="3.7109375" style="1807" customWidth="1"/>
    <col min="5" max="6" width="16" style="1807" customWidth="1"/>
    <col min="7" max="7" width="11.5703125" style="1807" customWidth="1"/>
    <col min="8" max="9" width="3.7109375" style="1807" customWidth="1"/>
    <col min="10" max="10" width="13.140625" style="1807" customWidth="1"/>
    <col min="11" max="11" width="0.28515625" style="1807" customWidth="1"/>
    <col min="12" max="13" width="10.7109375" style="1807" customWidth="1"/>
    <col min="14" max="15" width="3.7109375" style="1807" customWidth="1"/>
    <col min="16" max="16" width="19.7109375" style="1807" customWidth="1"/>
    <col min="17" max="17" width="0.28515625" style="1807" customWidth="1"/>
    <col min="18" max="19" width="10.7109375" style="1807" customWidth="1"/>
    <col min="20" max="21" width="3.7109375" style="1807" customWidth="1"/>
    <col min="22" max="22" width="25.7109375" style="1807" customWidth="1"/>
    <col min="23" max="23" width="0.28515625" style="1807" customWidth="1"/>
    <col min="24" max="25" width="10.7109375" style="1807" customWidth="1"/>
    <col min="26" max="27" width="3.7109375" style="1807" customWidth="1"/>
    <col min="28" max="28" width="16.42578125" style="1807" customWidth="1"/>
    <col min="29" max="29" width="0.28515625" style="1807" customWidth="1"/>
    <col min="30" max="31" width="10.7109375" style="1807" customWidth="1"/>
    <col min="32" max="33" width="3.7109375" style="1807" customWidth="1"/>
    <col min="34" max="34" width="8.7109375" style="1807" customWidth="1"/>
    <col min="35" max="35" width="21.7109375" style="1807" customWidth="1"/>
    <col min="36" max="36" width="9.140625" style="1807"/>
    <col min="37" max="37" width="9.140625" style="298"/>
    <col min="38" max="64" width="9.140625" style="1807"/>
  </cols>
  <sheetData>
    <row r="1" spans="1:64" s="1236" customFormat="1" ht="11.25" hidden="1" customHeight="1">
      <c r="AJ1" s="351"/>
      <c r="AK1" s="351"/>
      <c r="AL1" s="351"/>
      <c r="AM1" s="351"/>
      <c r="AN1" s="351"/>
      <c r="AO1" s="351"/>
      <c r="AP1" s="351"/>
      <c r="AQ1" s="351"/>
      <c r="AR1" s="351"/>
      <c r="AS1" s="351"/>
      <c r="AT1" s="351"/>
      <c r="AU1" s="351"/>
      <c r="AV1" s="351"/>
      <c r="AW1" s="351"/>
      <c r="AX1" s="351"/>
      <c r="AY1" s="351"/>
      <c r="AZ1" s="351"/>
      <c r="BA1" s="351"/>
      <c r="BB1" s="351"/>
      <c r="BC1" s="351"/>
      <c r="BD1" s="351"/>
      <c r="BE1" s="351"/>
      <c r="BF1" s="351"/>
      <c r="BG1" s="351"/>
      <c r="BH1" s="351"/>
      <c r="BI1" s="351"/>
      <c r="BJ1" s="351"/>
      <c r="BK1" s="351"/>
      <c r="BL1" s="351"/>
    </row>
    <row r="2" spans="1:64" s="1475" customFormat="1" ht="11.25" hidden="1" customHeight="1">
      <c r="L2" s="1475" t="s">
        <v>270</v>
      </c>
      <c r="M2" s="1475" t="s">
        <v>271</v>
      </c>
      <c r="R2" s="1475" t="s">
        <v>272</v>
      </c>
      <c r="S2" s="1475" t="s">
        <v>271</v>
      </c>
      <c r="X2" s="1475" t="s">
        <v>270</v>
      </c>
      <c r="Y2" s="1475" t="s">
        <v>271</v>
      </c>
      <c r="AD2" s="1475" t="s">
        <v>270</v>
      </c>
      <c r="AE2" s="1475" t="s">
        <v>271</v>
      </c>
      <c r="AJ2" s="1496"/>
      <c r="AK2" s="1496"/>
      <c r="AL2" s="1496"/>
      <c r="AM2" s="1496"/>
      <c r="AN2" s="1496"/>
      <c r="AO2" s="1496"/>
      <c r="AP2" s="1496"/>
      <c r="AQ2" s="1496"/>
      <c r="AR2" s="1496"/>
      <c r="AS2" s="1496"/>
      <c r="AT2" s="1496"/>
      <c r="AU2" s="1496"/>
      <c r="AV2" s="1496"/>
      <c r="AW2" s="1496"/>
      <c r="AX2" s="1496"/>
      <c r="AY2" s="1496"/>
      <c r="AZ2" s="1496"/>
      <c r="BA2" s="1496"/>
      <c r="BB2" s="1496"/>
      <c r="BC2" s="1496"/>
      <c r="BD2" s="1496"/>
      <c r="BE2" s="1496"/>
      <c r="BF2" s="1496"/>
      <c r="BG2" s="1496"/>
      <c r="BH2" s="1496"/>
      <c r="BI2" s="1496"/>
      <c r="BJ2" s="1496"/>
      <c r="BK2" s="1496"/>
      <c r="BL2" s="1496"/>
    </row>
    <row r="3" spans="1:64" s="1476" customFormat="1" ht="11.25" customHeight="1">
      <c r="AJ3"/>
      <c r="AK3" s="221"/>
      <c r="AL3"/>
      <c r="AM3"/>
      <c r="AN3"/>
      <c r="AO3"/>
      <c r="AP3"/>
      <c r="AQ3"/>
      <c r="AR3"/>
      <c r="AS3"/>
      <c r="AT3"/>
      <c r="AU3"/>
      <c r="AV3"/>
      <c r="AW3"/>
      <c r="AX3"/>
      <c r="AY3"/>
      <c r="AZ3"/>
      <c r="BA3"/>
      <c r="BB3"/>
      <c r="BC3"/>
      <c r="BD3"/>
      <c r="BE3"/>
      <c r="BF3"/>
      <c r="BG3"/>
      <c r="BH3"/>
      <c r="BI3"/>
      <c r="BJ3"/>
      <c r="BK3"/>
      <c r="BL3"/>
    </row>
    <row r="4" spans="1:64" s="1740" customFormat="1" ht="33" customHeight="1">
      <c r="A4" s="1058"/>
      <c r="B4" s="1057"/>
      <c r="C4" s="1427"/>
      <c r="D4" s="1927" t="s">
        <v>273</v>
      </c>
      <c r="E4" s="1927"/>
      <c r="F4" s="1927"/>
      <c r="G4" s="1927"/>
      <c r="H4" s="1927"/>
      <c r="I4" s="1927"/>
      <c r="J4" s="1927"/>
      <c r="K4" s="615"/>
      <c r="T4" s="1477"/>
      <c r="AJ4" s="1497"/>
      <c r="AK4" s="1498"/>
      <c r="AL4" s="1497"/>
      <c r="AM4" s="1497"/>
      <c r="AN4" s="1497"/>
      <c r="AO4" s="1497"/>
      <c r="AP4" s="1497"/>
      <c r="AQ4" s="1497"/>
      <c r="AR4" s="1497"/>
      <c r="AS4" s="1497"/>
      <c r="AT4" s="1497"/>
      <c r="AU4" s="1497"/>
      <c r="AV4" s="1497"/>
      <c r="AW4" s="1497"/>
      <c r="AX4" s="1497"/>
      <c r="AY4" s="1497"/>
      <c r="AZ4" s="1497"/>
      <c r="BA4" s="1497"/>
      <c r="BB4" s="1497"/>
      <c r="BC4" s="1497"/>
      <c r="BD4" s="1497"/>
      <c r="BE4" s="1497"/>
      <c r="BF4" s="1497"/>
      <c r="BG4" s="1497"/>
      <c r="BH4" s="1497"/>
      <c r="BI4" s="1497"/>
      <c r="BJ4" s="1497"/>
      <c r="BK4" s="1497"/>
      <c r="BL4" s="1497"/>
    </row>
    <row r="5" spans="1:64" s="1740" customFormat="1" ht="14.25" customHeight="1">
      <c r="A5" s="1549"/>
      <c r="B5" s="1548"/>
      <c r="C5" s="1427"/>
      <c r="D5" s="1950" t="str">
        <f>IF(org=0,"Не определено",org)</f>
        <v>АО СЗ "КМАпроектжилстрой"</v>
      </c>
      <c r="E5" s="1950"/>
      <c r="F5" s="1950"/>
      <c r="G5" s="1950"/>
      <c r="H5" s="1950"/>
      <c r="I5" s="1950"/>
      <c r="J5" s="1950"/>
      <c r="K5" s="615"/>
      <c r="T5" s="1477"/>
      <c r="AJ5" s="1497"/>
      <c r="AK5" s="1498"/>
      <c r="AL5" s="1497"/>
      <c r="AM5" s="1497"/>
      <c r="AN5" s="1497"/>
      <c r="AO5" s="1497"/>
      <c r="AP5" s="1497"/>
      <c r="AQ5" s="1497"/>
      <c r="AR5" s="1497"/>
      <c r="AS5" s="1497"/>
      <c r="AT5" s="1497"/>
      <c r="AU5" s="1497"/>
      <c r="AV5" s="1497"/>
      <c r="AW5" s="1497"/>
      <c r="AX5" s="1497"/>
      <c r="AY5" s="1497"/>
      <c r="AZ5" s="1497"/>
      <c r="BA5" s="1497"/>
      <c r="BB5" s="1497"/>
      <c r="BC5" s="1497"/>
      <c r="BD5" s="1497"/>
      <c r="BE5" s="1497"/>
      <c r="BF5" s="1497"/>
      <c r="BG5" s="1497"/>
      <c r="BH5" s="1497"/>
      <c r="BI5" s="1497"/>
      <c r="BJ5" s="1497"/>
      <c r="BK5" s="1497"/>
      <c r="BL5" s="1497"/>
    </row>
    <row r="6" spans="1:64" s="1740" customFormat="1" ht="14.25" customHeight="1">
      <c r="A6" s="1058"/>
      <c r="B6" s="1057"/>
      <c r="C6" s="1427"/>
      <c r="D6" s="615"/>
      <c r="E6" s="615"/>
      <c r="F6" s="615"/>
      <c r="G6" s="615"/>
      <c r="H6" s="615"/>
      <c r="I6" s="615"/>
      <c r="J6" s="615"/>
      <c r="K6" s="615"/>
      <c r="T6" s="1477"/>
      <c r="AJ6" s="1497"/>
      <c r="AK6" s="1498"/>
      <c r="AL6" s="1497"/>
      <c r="AM6" s="1497"/>
      <c r="AN6" s="1497"/>
      <c r="AO6" s="1497"/>
      <c r="AP6" s="1497"/>
      <c r="AQ6" s="1497"/>
      <c r="AR6" s="1497"/>
      <c r="AS6" s="1497"/>
      <c r="AT6" s="1497"/>
      <c r="AU6" s="1497"/>
      <c r="AV6" s="1497"/>
      <c r="AW6" s="1497"/>
      <c r="AX6" s="1497"/>
      <c r="AY6" s="1497"/>
      <c r="AZ6" s="1497"/>
      <c r="BA6" s="1497"/>
      <c r="BB6" s="1497"/>
      <c r="BC6" s="1497"/>
      <c r="BD6" s="1497"/>
      <c r="BE6" s="1497"/>
      <c r="BF6" s="1497"/>
      <c r="BG6" s="1497"/>
      <c r="BH6" s="1497"/>
      <c r="BI6" s="1497"/>
      <c r="BJ6" s="1497"/>
      <c r="BK6" s="1497"/>
      <c r="BL6" s="1497"/>
    </row>
    <row r="7" spans="1:64" s="1236" customFormat="1" ht="0.75" customHeight="1">
      <c r="AJ7" s="351"/>
      <c r="AK7" s="351"/>
      <c r="AL7" s="351"/>
      <c r="AM7" s="351"/>
      <c r="AN7" s="351"/>
      <c r="AO7" s="351"/>
      <c r="AP7" s="351"/>
      <c r="AQ7" s="351"/>
      <c r="AR7" s="351"/>
      <c r="AS7" s="351"/>
      <c r="AT7" s="351"/>
      <c r="AU7" s="351"/>
      <c r="AV7" s="351"/>
      <c r="AW7" s="351"/>
      <c r="AX7" s="351"/>
      <c r="AY7" s="351"/>
      <c r="AZ7" s="351"/>
      <c r="BA7" s="351"/>
      <c r="BB7" s="351"/>
      <c r="BC7" s="351"/>
      <c r="BD7" s="351"/>
      <c r="BE7" s="351"/>
      <c r="BF7" s="351"/>
      <c r="BG7" s="351"/>
      <c r="BH7" s="351"/>
      <c r="BI7" s="351"/>
      <c r="BJ7" s="351"/>
      <c r="BK7" s="351"/>
      <c r="BL7" s="351"/>
    </row>
    <row r="8" spans="1:64" ht="31.5" customHeight="1">
      <c r="D8" s="1874" t="s">
        <v>88</v>
      </c>
      <c r="E8" s="1874" t="s">
        <v>105</v>
      </c>
      <c r="F8" s="1929" t="s">
        <v>127</v>
      </c>
      <c r="G8" s="1930"/>
      <c r="H8" s="1929" t="s">
        <v>88</v>
      </c>
      <c r="I8" s="1930"/>
      <c r="J8" s="1874" t="s">
        <v>128</v>
      </c>
      <c r="K8" s="1478"/>
      <c r="L8" s="1928" t="s">
        <v>274</v>
      </c>
      <c r="M8" s="1928"/>
      <c r="N8" s="1928"/>
      <c r="O8" s="1928"/>
      <c r="P8" s="1928"/>
      <c r="Q8" s="1479"/>
      <c r="R8" s="1856" t="s">
        <v>275</v>
      </c>
      <c r="S8" s="1861"/>
      <c r="T8" s="1861"/>
      <c r="U8" s="1861"/>
      <c r="V8" s="1861"/>
      <c r="W8" s="1479"/>
      <c r="X8" s="1874" t="s">
        <v>276</v>
      </c>
      <c r="Y8" s="1874"/>
      <c r="Z8" s="1874"/>
      <c r="AA8" s="1874"/>
      <c r="AB8" s="1874"/>
      <c r="AC8" s="1480"/>
      <c r="AD8" s="1874" t="s">
        <v>277</v>
      </c>
      <c r="AE8" s="1874"/>
      <c r="AF8" s="1874"/>
      <c r="AG8" s="1874"/>
      <c r="AH8" s="1856"/>
      <c r="AI8" s="1874" t="s">
        <v>278</v>
      </c>
      <c r="AJ8"/>
    </row>
    <row r="9" spans="1:64" ht="22.5" customHeight="1">
      <c r="D9" s="1874"/>
      <c r="E9" s="1874"/>
      <c r="F9" s="1928" t="s">
        <v>89</v>
      </c>
      <c r="G9" s="1928" t="s">
        <v>133</v>
      </c>
      <c r="H9" s="1931"/>
      <c r="I9" s="1932"/>
      <c r="J9" s="1856"/>
      <c r="K9" s="1481"/>
      <c r="L9" s="1874" t="s">
        <v>279</v>
      </c>
      <c r="M9" s="1856"/>
      <c r="N9" s="1929" t="s">
        <v>88</v>
      </c>
      <c r="O9" s="1930"/>
      <c r="P9" s="1874" t="s">
        <v>134</v>
      </c>
      <c r="Q9" s="1478"/>
      <c r="R9" s="1874" t="s">
        <v>279</v>
      </c>
      <c r="S9" s="1856"/>
      <c r="T9" s="1929" t="s">
        <v>88</v>
      </c>
      <c r="U9" s="1930"/>
      <c r="V9" s="1874" t="s">
        <v>134</v>
      </c>
      <c r="W9" s="1478"/>
      <c r="X9" s="1874" t="s">
        <v>279</v>
      </c>
      <c r="Y9" s="1856"/>
      <c r="Z9" s="1929" t="s">
        <v>88</v>
      </c>
      <c r="AA9" s="1930"/>
      <c r="AB9" s="1874" t="s">
        <v>280</v>
      </c>
      <c r="AC9" s="1478"/>
      <c r="AD9" s="1874" t="s">
        <v>279</v>
      </c>
      <c r="AE9" s="1856"/>
      <c r="AF9" s="1929" t="s">
        <v>88</v>
      </c>
      <c r="AG9" s="1930"/>
      <c r="AH9" s="1856" t="s">
        <v>280</v>
      </c>
      <c r="AI9" s="1874"/>
      <c r="AJ9"/>
    </row>
    <row r="10" spans="1:64" ht="22.5" customHeight="1">
      <c r="D10" s="1928"/>
      <c r="E10" s="1928"/>
      <c r="F10" s="1933"/>
      <c r="G10" s="1933"/>
      <c r="H10" s="1934"/>
      <c r="I10" s="1935"/>
      <c r="J10" s="1929"/>
      <c r="K10" s="1481"/>
      <c r="L10" s="1499" t="s">
        <v>281</v>
      </c>
      <c r="M10" s="1495" t="s">
        <v>282</v>
      </c>
      <c r="N10" s="1931"/>
      <c r="O10" s="1932"/>
      <c r="P10" s="1928"/>
      <c r="Q10" s="1478"/>
      <c r="R10" s="1499" t="s">
        <v>281</v>
      </c>
      <c r="S10" s="1495" t="s">
        <v>282</v>
      </c>
      <c r="T10" s="1931"/>
      <c r="U10" s="1932"/>
      <c r="V10" s="1928"/>
      <c r="W10" s="1478"/>
      <c r="X10" s="1499" t="s">
        <v>281</v>
      </c>
      <c r="Y10" s="1495" t="s">
        <v>282</v>
      </c>
      <c r="Z10" s="1931"/>
      <c r="AA10" s="1932"/>
      <c r="AB10" s="1928"/>
      <c r="AC10" s="1478"/>
      <c r="AD10" s="1499" t="s">
        <v>281</v>
      </c>
      <c r="AE10" s="1495" t="s">
        <v>282</v>
      </c>
      <c r="AF10" s="1931"/>
      <c r="AG10" s="1932"/>
      <c r="AH10" s="1929"/>
      <c r="AI10" s="1928"/>
      <c r="AJ10"/>
      <c r="AK10" s="169" t="s">
        <v>283</v>
      </c>
      <c r="AL10" s="169" t="s">
        <v>135</v>
      </c>
    </row>
    <row r="11" spans="1:64" ht="14.25" customHeight="1">
      <c r="D11" s="1936" t="s">
        <v>109</v>
      </c>
      <c r="E11" s="1938" t="s">
        <v>284</v>
      </c>
      <c r="F11" s="1938" t="s">
        <v>285</v>
      </c>
      <c r="G11" s="1941" t="s">
        <v>57</v>
      </c>
      <c r="H11" s="1520"/>
      <c r="I11" s="1943"/>
      <c r="J11" s="1905"/>
      <c r="K11" s="1426"/>
      <c r="L11" s="1893"/>
      <c r="M11" s="1893"/>
      <c r="N11" s="1505"/>
      <c r="O11" s="1893"/>
      <c r="P11" s="1905"/>
      <c r="Q11" s="1506"/>
      <c r="R11" s="1893"/>
      <c r="S11" s="1893"/>
      <c r="T11" s="1507"/>
      <c r="U11" s="1893"/>
      <c r="V11" s="1905"/>
      <c r="W11" s="1508"/>
      <c r="X11" s="1893"/>
      <c r="Y11" s="1893"/>
      <c r="Z11" s="1505"/>
      <c r="AA11" s="1893"/>
      <c r="AB11" s="1905"/>
      <c r="AC11" s="1509"/>
      <c r="AD11" s="1893"/>
      <c r="AE11" s="1893"/>
      <c r="AF11" s="1425"/>
      <c r="AG11" s="1425"/>
      <c r="AH11" s="1510"/>
      <c r="AI11" s="1217"/>
      <c r="AJ11"/>
    </row>
    <row r="12" spans="1:64" ht="14.25" customHeight="1">
      <c r="D12" s="1936"/>
      <c r="E12" s="1938"/>
      <c r="F12" s="1938"/>
      <c r="G12" s="1942"/>
      <c r="H12" s="1521"/>
      <c r="I12" s="1944"/>
      <c r="J12" s="1906"/>
      <c r="K12" s="1528"/>
      <c r="L12" s="1894"/>
      <c r="M12" s="1894"/>
      <c r="N12" s="1511"/>
      <c r="O12" s="1894"/>
      <c r="P12" s="1906"/>
      <c r="Q12" s="1512"/>
      <c r="R12" s="1894"/>
      <c r="S12" s="1894"/>
      <c r="T12" s="1513"/>
      <c r="U12" s="1894"/>
      <c r="V12" s="1906"/>
      <c r="W12" s="1514"/>
      <c r="X12" s="1894"/>
      <c r="Y12" s="1894"/>
      <c r="Z12" s="1511"/>
      <c r="AA12" s="1894"/>
      <c r="AB12" s="1906"/>
      <c r="AC12" s="1515"/>
      <c r="AD12" s="1894"/>
      <c r="AE12" s="1894"/>
      <c r="AF12" s="1516"/>
      <c r="AG12" s="1516"/>
      <c r="AH12" s="1947"/>
      <c r="AI12" s="1948"/>
      <c r="AJ12"/>
    </row>
    <row r="13" spans="1:64" ht="14.25" customHeight="1">
      <c r="D13" s="1936"/>
      <c r="E13" s="1938"/>
      <c r="F13" s="1938"/>
      <c r="G13" s="1942"/>
      <c r="H13" s="1521"/>
      <c r="I13" s="1944"/>
      <c r="J13" s="1906"/>
      <c r="K13" s="1528"/>
      <c r="L13" s="1894"/>
      <c r="M13" s="1894"/>
      <c r="N13" s="1511"/>
      <c r="O13" s="1894"/>
      <c r="P13" s="1906"/>
      <c r="Q13" s="1512"/>
      <c r="R13" s="1894"/>
      <c r="S13" s="1894"/>
      <c r="T13" s="1513"/>
      <c r="U13" s="1894"/>
      <c r="V13" s="1906"/>
      <c r="W13" s="1514"/>
      <c r="X13" s="1894"/>
      <c r="Y13" s="1894"/>
      <c r="Z13" s="1424"/>
      <c r="AA13" s="1516"/>
      <c r="AB13" s="1947"/>
      <c r="AC13" s="1947"/>
      <c r="AD13" s="1947"/>
      <c r="AE13" s="1947"/>
      <c r="AF13" s="1947"/>
      <c r="AG13" s="1947"/>
      <c r="AH13" s="1947"/>
      <c r="AI13" s="1948"/>
      <c r="AJ13"/>
    </row>
    <row r="14" spans="1:64" ht="14.25" customHeight="1">
      <c r="D14" s="1936"/>
      <c r="E14" s="1938"/>
      <c r="F14" s="1938"/>
      <c r="G14" s="1942"/>
      <c r="H14" s="1521"/>
      <c r="I14" s="1944"/>
      <c r="J14" s="1906"/>
      <c r="K14" s="1528"/>
      <c r="L14" s="1894"/>
      <c r="M14" s="1894"/>
      <c r="N14" s="1511"/>
      <c r="O14" s="1894"/>
      <c r="P14" s="1906"/>
      <c r="Q14" s="1512"/>
      <c r="R14" s="1894"/>
      <c r="S14" s="1894"/>
      <c r="T14" s="1517"/>
      <c r="U14" s="1518"/>
      <c r="V14" s="1947"/>
      <c r="W14" s="1947"/>
      <c r="X14" s="1947"/>
      <c r="Y14" s="1947"/>
      <c r="Z14" s="1947"/>
      <c r="AA14" s="1947"/>
      <c r="AB14" s="1947"/>
      <c r="AC14" s="1947"/>
      <c r="AD14" s="1947"/>
      <c r="AE14" s="1947"/>
      <c r="AF14" s="1947"/>
      <c r="AG14" s="1947"/>
      <c r="AH14" s="1947"/>
      <c r="AI14" s="1948"/>
      <c r="AJ14"/>
    </row>
    <row r="15" spans="1:64" ht="11.25" customHeight="1">
      <c r="D15" s="1936"/>
      <c r="E15" s="1938"/>
      <c r="F15" s="1938"/>
      <c r="G15" s="1942"/>
      <c r="H15" s="1522"/>
      <c r="I15" s="1944"/>
      <c r="J15" s="1906"/>
      <c r="K15" s="1528"/>
      <c r="L15" s="1894"/>
      <c r="M15" s="1894"/>
      <c r="N15" s="1516"/>
      <c r="O15" s="1516"/>
      <c r="P15" s="1947"/>
      <c r="Q15" s="1947"/>
      <c r="R15" s="1947"/>
      <c r="S15" s="1947"/>
      <c r="T15" s="1947"/>
      <c r="U15" s="1947"/>
      <c r="V15" s="1947"/>
      <c r="W15" s="1947"/>
      <c r="X15" s="1947"/>
      <c r="Y15" s="1947"/>
      <c r="Z15" s="1947"/>
      <c r="AA15" s="1947"/>
      <c r="AB15" s="1947"/>
      <c r="AC15" s="1947"/>
      <c r="AD15" s="1947"/>
      <c r="AE15" s="1947"/>
      <c r="AF15" s="1947"/>
      <c r="AG15" s="1947"/>
      <c r="AH15" s="1947"/>
      <c r="AI15" s="1948"/>
      <c r="AJ15"/>
    </row>
    <row r="16" spans="1:64" s="1476" customFormat="1" ht="11.25" customHeight="1">
      <c r="D16" s="1937"/>
      <c r="E16" s="1939"/>
      <c r="F16" s="1940"/>
      <c r="G16" s="1890"/>
      <c r="H16" s="1519"/>
      <c r="I16" s="1523"/>
      <c r="J16" s="1945"/>
      <c r="K16" s="1945"/>
      <c r="L16" s="1945"/>
      <c r="M16" s="1945"/>
      <c r="N16" s="1945"/>
      <c r="O16" s="1945"/>
      <c r="P16" s="1945"/>
      <c r="Q16" s="1945"/>
      <c r="R16" s="1945"/>
      <c r="S16" s="1945"/>
      <c r="T16" s="1945"/>
      <c r="U16" s="1945"/>
      <c r="V16" s="1945"/>
      <c r="W16" s="1945"/>
      <c r="X16" s="1945"/>
      <c r="Y16" s="1945"/>
      <c r="Z16" s="1945"/>
      <c r="AA16" s="1945"/>
      <c r="AB16" s="1945"/>
      <c r="AC16" s="1945"/>
      <c r="AD16" s="1945"/>
      <c r="AE16" s="1945"/>
      <c r="AF16" s="1945"/>
      <c r="AG16" s="1945"/>
      <c r="AH16" s="1945"/>
      <c r="AI16" s="1946"/>
      <c r="AJ16"/>
      <c r="AK16" s="221"/>
      <c r="AL16"/>
      <c r="AM16"/>
      <c r="AN16"/>
      <c r="AO16"/>
      <c r="AP16"/>
      <c r="AQ16"/>
      <c r="AR16"/>
      <c r="AS16"/>
      <c r="AT16"/>
      <c r="AU16"/>
      <c r="AV16"/>
      <c r="AW16"/>
      <c r="AX16"/>
      <c r="AY16"/>
      <c r="AZ16"/>
      <c r="BA16"/>
      <c r="BB16"/>
      <c r="BC16"/>
      <c r="BD16"/>
      <c r="BE16"/>
      <c r="BF16"/>
      <c r="BG16"/>
      <c r="BH16"/>
      <c r="BI16"/>
      <c r="BJ16"/>
      <c r="BK16"/>
      <c r="BL16"/>
    </row>
    <row r="17" spans="4:64" ht="14.25" customHeight="1">
      <c r="D17" s="1936" t="s">
        <v>110</v>
      </c>
      <c r="E17" s="1938" t="s">
        <v>284</v>
      </c>
      <c r="F17" s="1938" t="s">
        <v>286</v>
      </c>
      <c r="G17" s="1941" t="s">
        <v>57</v>
      </c>
      <c r="H17" s="1520"/>
      <c r="I17" s="1943"/>
      <c r="J17" s="1905"/>
      <c r="K17" s="1426"/>
      <c r="L17" s="1893"/>
      <c r="M17" s="1893"/>
      <c r="N17" s="1505"/>
      <c r="O17" s="1893"/>
      <c r="P17" s="1905"/>
      <c r="Q17" s="1506"/>
      <c r="R17" s="1893"/>
      <c r="S17" s="1893"/>
      <c r="T17" s="1507"/>
      <c r="U17" s="1893"/>
      <c r="V17" s="1905"/>
      <c r="W17" s="1508"/>
      <c r="X17" s="1893"/>
      <c r="Y17" s="1893"/>
      <c r="Z17" s="1505"/>
      <c r="AA17" s="1893"/>
      <c r="AB17" s="1905"/>
      <c r="AC17" s="1509"/>
      <c r="AD17" s="1893"/>
      <c r="AE17" s="1893"/>
      <c r="AF17" s="1425"/>
      <c r="AG17" s="1425"/>
      <c r="AH17" s="1510"/>
      <c r="AI17" s="1217"/>
      <c r="AJ17"/>
    </row>
    <row r="18" spans="4:64" ht="14.25" customHeight="1">
      <c r="D18" s="1936"/>
      <c r="E18" s="1938"/>
      <c r="F18" s="1938"/>
      <c r="G18" s="1942"/>
      <c r="H18" s="1521"/>
      <c r="I18" s="1944"/>
      <c r="J18" s="1906"/>
      <c r="K18" s="1504"/>
      <c r="L18" s="1894"/>
      <c r="M18" s="1894"/>
      <c r="N18" s="1511"/>
      <c r="O18" s="1894"/>
      <c r="P18" s="1906"/>
      <c r="Q18" s="1512"/>
      <c r="R18" s="1894"/>
      <c r="S18" s="1894"/>
      <c r="T18" s="1513"/>
      <c r="U18" s="1894"/>
      <c r="V18" s="1906"/>
      <c r="W18" s="1514"/>
      <c r="X18" s="1894"/>
      <c r="Y18" s="1894"/>
      <c r="Z18" s="1511"/>
      <c r="AA18" s="1894"/>
      <c r="AB18" s="1906"/>
      <c r="AC18" s="1515"/>
      <c r="AD18" s="1894"/>
      <c r="AE18" s="1894"/>
      <c r="AF18" s="1516"/>
      <c r="AG18" s="1516"/>
      <c r="AH18" s="1947"/>
      <c r="AI18" s="1948"/>
      <c r="AJ18"/>
    </row>
    <row r="19" spans="4:64" ht="14.25" customHeight="1">
      <c r="D19" s="1936"/>
      <c r="E19" s="1938"/>
      <c r="F19" s="1938"/>
      <c r="G19" s="1942"/>
      <c r="H19" s="1521"/>
      <c r="I19" s="1944"/>
      <c r="J19" s="1906"/>
      <c r="K19" s="1504"/>
      <c r="L19" s="1894"/>
      <c r="M19" s="1894"/>
      <c r="N19" s="1511"/>
      <c r="O19" s="1894"/>
      <c r="P19" s="1906"/>
      <c r="Q19" s="1512"/>
      <c r="R19" s="1894"/>
      <c r="S19" s="1894"/>
      <c r="T19" s="1513"/>
      <c r="U19" s="1894"/>
      <c r="V19" s="1906"/>
      <c r="W19" s="1514"/>
      <c r="X19" s="1894"/>
      <c r="Y19" s="1894"/>
      <c r="Z19" s="1424"/>
      <c r="AA19" s="1516"/>
      <c r="AB19" s="1947"/>
      <c r="AC19" s="1947"/>
      <c r="AD19" s="1947"/>
      <c r="AE19" s="1947"/>
      <c r="AF19" s="1947"/>
      <c r="AG19" s="1947"/>
      <c r="AH19" s="1947"/>
      <c r="AI19" s="1948"/>
      <c r="AJ19"/>
    </row>
    <row r="20" spans="4:64" ht="14.25" customHeight="1">
      <c r="D20" s="1936"/>
      <c r="E20" s="1938"/>
      <c r="F20" s="1938"/>
      <c r="G20" s="1942"/>
      <c r="H20" s="1521"/>
      <c r="I20" s="1944"/>
      <c r="J20" s="1906"/>
      <c r="K20" s="1504"/>
      <c r="L20" s="1894"/>
      <c r="M20" s="1894"/>
      <c r="N20" s="1511"/>
      <c r="O20" s="1894"/>
      <c r="P20" s="1906"/>
      <c r="Q20" s="1512"/>
      <c r="R20" s="1894"/>
      <c r="S20" s="1894"/>
      <c r="T20" s="1517"/>
      <c r="U20" s="1518"/>
      <c r="V20" s="1947"/>
      <c r="W20" s="1947"/>
      <c r="X20" s="1947"/>
      <c r="Y20" s="1947"/>
      <c r="Z20" s="1947"/>
      <c r="AA20" s="1947"/>
      <c r="AB20" s="1947"/>
      <c r="AC20" s="1947"/>
      <c r="AD20" s="1947"/>
      <c r="AE20" s="1947"/>
      <c r="AF20" s="1947"/>
      <c r="AG20" s="1947"/>
      <c r="AH20" s="1947"/>
      <c r="AI20" s="1948"/>
      <c r="AJ20"/>
    </row>
    <row r="21" spans="4:64" ht="11.25" customHeight="1">
      <c r="D21" s="1936"/>
      <c r="E21" s="1938"/>
      <c r="F21" s="1938"/>
      <c r="G21" s="1942"/>
      <c r="H21" s="1522"/>
      <c r="I21" s="1944"/>
      <c r="J21" s="1906"/>
      <c r="K21" s="1504"/>
      <c r="L21" s="1894"/>
      <c r="M21" s="1894"/>
      <c r="N21" s="1516"/>
      <c r="O21" s="1516"/>
      <c r="P21" s="1947"/>
      <c r="Q21" s="1947"/>
      <c r="R21" s="1947"/>
      <c r="S21" s="1947"/>
      <c r="T21" s="1947"/>
      <c r="U21" s="1947"/>
      <c r="V21" s="1947"/>
      <c r="W21" s="1947"/>
      <c r="X21" s="1947"/>
      <c r="Y21" s="1947"/>
      <c r="Z21" s="1947"/>
      <c r="AA21" s="1947"/>
      <c r="AB21" s="1947"/>
      <c r="AC21" s="1947"/>
      <c r="AD21" s="1947"/>
      <c r="AE21" s="1947"/>
      <c r="AF21" s="1947"/>
      <c r="AG21" s="1947"/>
      <c r="AH21" s="1947"/>
      <c r="AI21" s="1948"/>
      <c r="AJ21"/>
    </row>
    <row r="22" spans="4:64" s="1476" customFormat="1" ht="11.25" customHeight="1">
      <c r="D22" s="1937"/>
      <c r="E22" s="1939"/>
      <c r="F22" s="1940"/>
      <c r="G22" s="1890"/>
      <c r="H22" s="1519"/>
      <c r="I22" s="1523"/>
      <c r="J22" s="1945"/>
      <c r="K22" s="1945"/>
      <c r="L22" s="1945"/>
      <c r="M22" s="1945"/>
      <c r="N22" s="1945"/>
      <c r="O22" s="1945"/>
      <c r="P22" s="1945"/>
      <c r="Q22" s="1945"/>
      <c r="R22" s="1945"/>
      <c r="S22" s="1945"/>
      <c r="T22" s="1945"/>
      <c r="U22" s="1945"/>
      <c r="V22" s="1945"/>
      <c r="W22" s="1945"/>
      <c r="X22" s="1945"/>
      <c r="Y22" s="1945"/>
      <c r="Z22" s="1945"/>
      <c r="AA22" s="1945"/>
      <c r="AB22" s="1945"/>
      <c r="AC22" s="1945"/>
      <c r="AD22" s="1945"/>
      <c r="AE22" s="1945"/>
      <c r="AF22" s="1945"/>
      <c r="AG22" s="1945"/>
      <c r="AH22" s="1945"/>
      <c r="AI22" s="1946"/>
      <c r="AJ22"/>
      <c r="AK22" s="221"/>
      <c r="AL22"/>
      <c r="AM22"/>
      <c r="AN22"/>
      <c r="AO22"/>
      <c r="AP22"/>
      <c r="AQ22"/>
      <c r="AR22"/>
      <c r="AS22"/>
      <c r="AT22"/>
      <c r="AU22"/>
      <c r="AV22"/>
      <c r="AW22"/>
      <c r="AX22"/>
      <c r="AY22"/>
      <c r="AZ22"/>
      <c r="BA22"/>
      <c r="BB22"/>
      <c r="BC22"/>
      <c r="BD22"/>
      <c r="BE22"/>
      <c r="BF22"/>
      <c r="BG22"/>
      <c r="BH22"/>
      <c r="BI22"/>
      <c r="BJ22"/>
      <c r="BK22"/>
      <c r="BL22"/>
    </row>
    <row r="23" spans="4:64" ht="14.25" customHeight="1">
      <c r="D23" s="1936" t="s">
        <v>90</v>
      </c>
      <c r="E23" s="1938" t="s">
        <v>284</v>
      </c>
      <c r="F23" s="1938" t="s">
        <v>287</v>
      </c>
      <c r="G23" s="1941" t="s">
        <v>57</v>
      </c>
      <c r="H23" s="1520"/>
      <c r="I23" s="1943"/>
      <c r="J23" s="1905"/>
      <c r="K23" s="1426"/>
      <c r="L23" s="1893"/>
      <c r="M23" s="1893"/>
      <c r="N23" s="1505"/>
      <c r="O23" s="1893"/>
      <c r="P23" s="1905"/>
      <c r="Q23" s="1506"/>
      <c r="R23" s="1893"/>
      <c r="S23" s="1893"/>
      <c r="T23" s="1507"/>
      <c r="U23" s="1893"/>
      <c r="V23" s="1905"/>
      <c r="W23" s="1508"/>
      <c r="X23" s="1893"/>
      <c r="Y23" s="1893"/>
      <c r="Z23" s="1505"/>
      <c r="AA23" s="1893"/>
      <c r="AB23" s="1905"/>
      <c r="AC23" s="1509"/>
      <c r="AD23" s="1893"/>
      <c r="AE23" s="1893"/>
      <c r="AF23" s="1425"/>
      <c r="AG23" s="1425"/>
      <c r="AH23" s="1510"/>
      <c r="AI23" s="1217"/>
      <c r="AJ23"/>
      <c r="AK23" s="221" t="s">
        <v>98</v>
      </c>
    </row>
    <row r="24" spans="4:64" ht="14.25" customHeight="1">
      <c r="D24" s="1936"/>
      <c r="E24" s="1938"/>
      <c r="F24" s="1938"/>
      <c r="G24" s="1942"/>
      <c r="H24" s="1521"/>
      <c r="I24" s="1944"/>
      <c r="J24" s="1906"/>
      <c r="K24" s="1528"/>
      <c r="L24" s="1894"/>
      <c r="M24" s="1894"/>
      <c r="N24" s="1511"/>
      <c r="O24" s="1894"/>
      <c r="P24" s="1906"/>
      <c r="Q24" s="1512"/>
      <c r="R24" s="1894"/>
      <c r="S24" s="1894"/>
      <c r="T24" s="1513"/>
      <c r="U24" s="1894"/>
      <c r="V24" s="1906"/>
      <c r="W24" s="1514"/>
      <c r="X24" s="1894"/>
      <c r="Y24" s="1894"/>
      <c r="Z24" s="1511"/>
      <c r="AA24" s="1894"/>
      <c r="AB24" s="1906"/>
      <c r="AC24" s="1515"/>
      <c r="AD24" s="1894"/>
      <c r="AE24" s="1894"/>
      <c r="AF24" s="1516"/>
      <c r="AG24" s="1516"/>
      <c r="AH24" s="1947"/>
      <c r="AI24" s="1948"/>
      <c r="AJ24"/>
    </row>
    <row r="25" spans="4:64" ht="14.25" customHeight="1">
      <c r="D25" s="1936"/>
      <c r="E25" s="1938"/>
      <c r="F25" s="1938"/>
      <c r="G25" s="1942"/>
      <c r="H25" s="1521"/>
      <c r="I25" s="1944"/>
      <c r="J25" s="1906"/>
      <c r="K25" s="1528"/>
      <c r="L25" s="1894"/>
      <c r="M25" s="1894"/>
      <c r="N25" s="1511"/>
      <c r="O25" s="1894"/>
      <c r="P25" s="1906"/>
      <c r="Q25" s="1512"/>
      <c r="R25" s="1894"/>
      <c r="S25" s="1894"/>
      <c r="T25" s="1513"/>
      <c r="U25" s="1894"/>
      <c r="V25" s="1906"/>
      <c r="W25" s="1514"/>
      <c r="X25" s="1894"/>
      <c r="Y25" s="1894"/>
      <c r="Z25" s="1424"/>
      <c r="AA25" s="1516"/>
      <c r="AB25" s="1947"/>
      <c r="AC25" s="1947"/>
      <c r="AD25" s="1947"/>
      <c r="AE25" s="1947"/>
      <c r="AF25" s="1947"/>
      <c r="AG25" s="1947"/>
      <c r="AH25" s="1947"/>
      <c r="AI25" s="1948"/>
      <c r="AJ25"/>
    </row>
    <row r="26" spans="4:64" ht="14.25" customHeight="1">
      <c r="D26" s="1936"/>
      <c r="E26" s="1938"/>
      <c r="F26" s="1938"/>
      <c r="G26" s="1942"/>
      <c r="H26" s="1521"/>
      <c r="I26" s="1944"/>
      <c r="J26" s="1906"/>
      <c r="K26" s="1528"/>
      <c r="L26" s="1894"/>
      <c r="M26" s="1894"/>
      <c r="N26" s="1511"/>
      <c r="O26" s="1894"/>
      <c r="P26" s="1906"/>
      <c r="Q26" s="1512"/>
      <c r="R26" s="1894"/>
      <c r="S26" s="1894"/>
      <c r="T26" s="1517"/>
      <c r="U26" s="1518"/>
      <c r="V26" s="1947"/>
      <c r="W26" s="1947"/>
      <c r="X26" s="1947"/>
      <c r="Y26" s="1947"/>
      <c r="Z26" s="1947"/>
      <c r="AA26" s="1947"/>
      <c r="AB26" s="1947"/>
      <c r="AC26" s="1947"/>
      <c r="AD26" s="1947"/>
      <c r="AE26" s="1947"/>
      <c r="AF26" s="1947"/>
      <c r="AG26" s="1947"/>
      <c r="AH26" s="1947"/>
      <c r="AI26" s="1948"/>
      <c r="AJ26"/>
    </row>
    <row r="27" spans="4:64" ht="11.25" customHeight="1">
      <c r="D27" s="1936"/>
      <c r="E27" s="1938"/>
      <c r="F27" s="1938"/>
      <c r="G27" s="1942"/>
      <c r="H27" s="1522"/>
      <c r="I27" s="1944"/>
      <c r="J27" s="1906"/>
      <c r="K27" s="1528"/>
      <c r="L27" s="1894"/>
      <c r="M27" s="1894"/>
      <c r="N27" s="1516"/>
      <c r="O27" s="1516"/>
      <c r="P27" s="1947"/>
      <c r="Q27" s="1947"/>
      <c r="R27" s="1947"/>
      <c r="S27" s="1947"/>
      <c r="T27" s="1947"/>
      <c r="U27" s="1947"/>
      <c r="V27" s="1947"/>
      <c r="W27" s="1947"/>
      <c r="X27" s="1947"/>
      <c r="Y27" s="1947"/>
      <c r="Z27" s="1947"/>
      <c r="AA27" s="1947"/>
      <c r="AB27" s="1947"/>
      <c r="AC27" s="1947"/>
      <c r="AD27" s="1947"/>
      <c r="AE27" s="1947"/>
      <c r="AF27" s="1947"/>
      <c r="AG27" s="1947"/>
      <c r="AH27" s="1947"/>
      <c r="AI27" s="1948"/>
      <c r="AJ27"/>
    </row>
    <row r="28" spans="4:64" s="1476" customFormat="1" ht="11.25" customHeight="1">
      <c r="D28" s="1937"/>
      <c r="E28" s="1939"/>
      <c r="F28" s="1940"/>
      <c r="G28" s="1890"/>
      <c r="H28" s="1519"/>
      <c r="I28" s="1523"/>
      <c r="J28" s="1945"/>
      <c r="K28" s="1945"/>
      <c r="L28" s="1945"/>
      <c r="M28" s="1945"/>
      <c r="N28" s="1945"/>
      <c r="O28" s="1945"/>
      <c r="P28" s="1945"/>
      <c r="Q28" s="1945"/>
      <c r="R28" s="1945"/>
      <c r="S28" s="1945"/>
      <c r="T28" s="1945"/>
      <c r="U28" s="1945"/>
      <c r="V28" s="1945"/>
      <c r="W28" s="1945"/>
      <c r="X28" s="1945"/>
      <c r="Y28" s="1945"/>
      <c r="Z28" s="1945"/>
      <c r="AA28" s="1945"/>
      <c r="AB28" s="1945"/>
      <c r="AC28" s="1945"/>
      <c r="AD28" s="1945"/>
      <c r="AE28" s="1945"/>
      <c r="AF28" s="1945"/>
      <c r="AG28" s="1945"/>
      <c r="AH28" s="1945"/>
      <c r="AI28" s="1946"/>
      <c r="AJ28"/>
      <c r="AK28" s="221"/>
      <c r="AL28"/>
      <c r="AM28"/>
      <c r="AN28"/>
      <c r="AO28"/>
      <c r="AP28"/>
      <c r="AQ28"/>
      <c r="AR28"/>
      <c r="AS28"/>
      <c r="AT28"/>
      <c r="AU28"/>
      <c r="AV28"/>
      <c r="AW28"/>
      <c r="AX28"/>
      <c r="AY28"/>
      <c r="AZ28"/>
      <c r="BA28"/>
      <c r="BB28"/>
      <c r="BC28"/>
      <c r="BD28"/>
      <c r="BE28"/>
      <c r="BF28"/>
      <c r="BG28"/>
      <c r="BH28"/>
      <c r="BI28"/>
      <c r="BJ28"/>
      <c r="BK28"/>
      <c r="BL28"/>
    </row>
    <row r="29" spans="4:64" ht="14.25" customHeight="1">
      <c r="D29" s="1936" t="s">
        <v>91</v>
      </c>
      <c r="E29" s="1938" t="s">
        <v>284</v>
      </c>
      <c r="F29" s="1938" t="s">
        <v>288</v>
      </c>
      <c r="G29" s="1941" t="s">
        <v>57</v>
      </c>
      <c r="H29" s="1520"/>
      <c r="I29" s="1943"/>
      <c r="J29" s="1905"/>
      <c r="K29" s="1426"/>
      <c r="L29" s="1893"/>
      <c r="M29" s="1893"/>
      <c r="N29" s="1505"/>
      <c r="O29" s="1893"/>
      <c r="P29" s="1905"/>
      <c r="Q29" s="1506"/>
      <c r="R29" s="1893"/>
      <c r="S29" s="1893"/>
      <c r="T29" s="1507"/>
      <c r="U29" s="1893"/>
      <c r="V29" s="1905"/>
      <c r="W29" s="1508"/>
      <c r="X29" s="1893"/>
      <c r="Y29" s="1893"/>
      <c r="Z29" s="1505"/>
      <c r="AA29" s="1893"/>
      <c r="AB29" s="1905"/>
      <c r="AC29" s="1509"/>
      <c r="AD29" s="1893"/>
      <c r="AE29" s="1893"/>
      <c r="AF29" s="1425"/>
      <c r="AG29" s="1425"/>
      <c r="AH29" s="1510"/>
      <c r="AI29" s="1217"/>
      <c r="AJ29"/>
    </row>
    <row r="30" spans="4:64" ht="14.25" customHeight="1">
      <c r="D30" s="1936"/>
      <c r="E30" s="1938"/>
      <c r="F30" s="1938"/>
      <c r="G30" s="1942"/>
      <c r="H30" s="1521"/>
      <c r="I30" s="1944"/>
      <c r="J30" s="1906"/>
      <c r="K30" s="1504"/>
      <c r="L30" s="1894"/>
      <c r="M30" s="1894"/>
      <c r="N30" s="1511"/>
      <c r="O30" s="1894"/>
      <c r="P30" s="1906"/>
      <c r="Q30" s="1512"/>
      <c r="R30" s="1894"/>
      <c r="S30" s="1894"/>
      <c r="T30" s="1513"/>
      <c r="U30" s="1894"/>
      <c r="V30" s="1906"/>
      <c r="W30" s="1514"/>
      <c r="X30" s="1894"/>
      <c r="Y30" s="1894"/>
      <c r="Z30" s="1511"/>
      <c r="AA30" s="1894"/>
      <c r="AB30" s="1906"/>
      <c r="AC30" s="1515"/>
      <c r="AD30" s="1894"/>
      <c r="AE30" s="1894"/>
      <c r="AF30" s="1516"/>
      <c r="AG30" s="1516"/>
      <c r="AH30" s="1947"/>
      <c r="AI30" s="1948"/>
      <c r="AJ30"/>
    </row>
    <row r="31" spans="4:64" ht="14.25" customHeight="1">
      <c r="D31" s="1936"/>
      <c r="E31" s="1938"/>
      <c r="F31" s="1938"/>
      <c r="G31" s="1942"/>
      <c r="H31" s="1521"/>
      <c r="I31" s="1944"/>
      <c r="J31" s="1906"/>
      <c r="K31" s="1504"/>
      <c r="L31" s="1894"/>
      <c r="M31" s="1894"/>
      <c r="N31" s="1511"/>
      <c r="O31" s="1894"/>
      <c r="P31" s="1906"/>
      <c r="Q31" s="1512"/>
      <c r="R31" s="1894"/>
      <c r="S31" s="1894"/>
      <c r="T31" s="1513"/>
      <c r="U31" s="1894"/>
      <c r="V31" s="1906"/>
      <c r="W31" s="1514"/>
      <c r="X31" s="1894"/>
      <c r="Y31" s="1894"/>
      <c r="Z31" s="1424"/>
      <c r="AA31" s="1516"/>
      <c r="AB31" s="1947"/>
      <c r="AC31" s="1947"/>
      <c r="AD31" s="1947"/>
      <c r="AE31" s="1947"/>
      <c r="AF31" s="1947"/>
      <c r="AG31" s="1947"/>
      <c r="AH31" s="1947"/>
      <c r="AI31" s="1948"/>
      <c r="AJ31"/>
    </row>
    <row r="32" spans="4:64" ht="14.25" customHeight="1">
      <c r="D32" s="1936"/>
      <c r="E32" s="1938"/>
      <c r="F32" s="1938"/>
      <c r="G32" s="1942"/>
      <c r="H32" s="1521"/>
      <c r="I32" s="1944"/>
      <c r="J32" s="1906"/>
      <c r="K32" s="1504"/>
      <c r="L32" s="1894"/>
      <c r="M32" s="1894"/>
      <c r="N32" s="1511"/>
      <c r="O32" s="1894"/>
      <c r="P32" s="1906"/>
      <c r="Q32" s="1512"/>
      <c r="R32" s="1894"/>
      <c r="S32" s="1894"/>
      <c r="T32" s="1517"/>
      <c r="U32" s="1518"/>
      <c r="V32" s="1947"/>
      <c r="W32" s="1947"/>
      <c r="X32" s="1947"/>
      <c r="Y32" s="1947"/>
      <c r="Z32" s="1947"/>
      <c r="AA32" s="1947"/>
      <c r="AB32" s="1947"/>
      <c r="AC32" s="1947"/>
      <c r="AD32" s="1947"/>
      <c r="AE32" s="1947"/>
      <c r="AF32" s="1947"/>
      <c r="AG32" s="1947"/>
      <c r="AH32" s="1947"/>
      <c r="AI32" s="1948"/>
      <c r="AJ32"/>
    </row>
    <row r="33" spans="4:64" ht="11.25" customHeight="1">
      <c r="D33" s="1936"/>
      <c r="E33" s="1938"/>
      <c r="F33" s="1938"/>
      <c r="G33" s="1942"/>
      <c r="H33" s="1522"/>
      <c r="I33" s="1944"/>
      <c r="J33" s="1906"/>
      <c r="K33" s="1504"/>
      <c r="L33" s="1894"/>
      <c r="M33" s="1894"/>
      <c r="N33" s="1516"/>
      <c r="O33" s="1516"/>
      <c r="P33" s="1947"/>
      <c r="Q33" s="1947"/>
      <c r="R33" s="1947"/>
      <c r="S33" s="1947"/>
      <c r="T33" s="1947"/>
      <c r="U33" s="1947"/>
      <c r="V33" s="1947"/>
      <c r="W33" s="1947"/>
      <c r="X33" s="1947"/>
      <c r="Y33" s="1947"/>
      <c r="Z33" s="1947"/>
      <c r="AA33" s="1947"/>
      <c r="AB33" s="1947"/>
      <c r="AC33" s="1947"/>
      <c r="AD33" s="1947"/>
      <c r="AE33" s="1947"/>
      <c r="AF33" s="1947"/>
      <c r="AG33" s="1947"/>
      <c r="AH33" s="1947"/>
      <c r="AI33" s="1948"/>
      <c r="AJ33"/>
    </row>
    <row r="34" spans="4:64" s="1476" customFormat="1" ht="11.25" customHeight="1">
      <c r="D34" s="1937"/>
      <c r="E34" s="1939"/>
      <c r="F34" s="1940"/>
      <c r="G34" s="1890"/>
      <c r="H34" s="1519"/>
      <c r="I34" s="1523"/>
      <c r="J34" s="1945"/>
      <c r="K34" s="1945"/>
      <c r="L34" s="1945"/>
      <c r="M34" s="1945"/>
      <c r="N34" s="1945"/>
      <c r="O34" s="1945"/>
      <c r="P34" s="1945"/>
      <c r="Q34" s="1945"/>
      <c r="R34" s="1945"/>
      <c r="S34" s="1945"/>
      <c r="T34" s="1945"/>
      <c r="U34" s="1945"/>
      <c r="V34" s="1945"/>
      <c r="W34" s="1945"/>
      <c r="X34" s="1945"/>
      <c r="Y34" s="1945"/>
      <c r="Z34" s="1945"/>
      <c r="AA34" s="1945"/>
      <c r="AB34" s="1945"/>
      <c r="AC34" s="1945"/>
      <c r="AD34" s="1945"/>
      <c r="AE34" s="1945"/>
      <c r="AF34" s="1945"/>
      <c r="AG34" s="1945"/>
      <c r="AH34" s="1945"/>
      <c r="AI34" s="1946"/>
      <c r="AJ34"/>
      <c r="AK34" s="221"/>
      <c r="AL34"/>
      <c r="AM34"/>
      <c r="AN34"/>
      <c r="AO34"/>
      <c r="AP34"/>
      <c r="AQ34"/>
      <c r="AR34"/>
      <c r="AS34"/>
      <c r="AT34"/>
      <c r="AU34"/>
      <c r="AV34"/>
      <c r="AW34"/>
      <c r="AX34"/>
      <c r="AY34"/>
      <c r="AZ34"/>
      <c r="BA34"/>
      <c r="BB34"/>
      <c r="BC34"/>
      <c r="BD34"/>
      <c r="BE34"/>
      <c r="BF34"/>
      <c r="BG34"/>
      <c r="BH34"/>
      <c r="BI34"/>
      <c r="BJ34"/>
      <c r="BK34"/>
      <c r="BL34"/>
    </row>
    <row r="35" spans="4:64" ht="14.25" customHeight="1">
      <c r="D35" s="1936" t="s">
        <v>111</v>
      </c>
      <c r="E35" s="1938" t="s">
        <v>284</v>
      </c>
      <c r="F35" s="1938" t="s">
        <v>289</v>
      </c>
      <c r="G35" s="1941" t="s">
        <v>57</v>
      </c>
      <c r="H35" s="1520"/>
      <c r="I35" s="1943"/>
      <c r="J35" s="1905"/>
      <c r="K35" s="1426"/>
      <c r="L35" s="1893"/>
      <c r="M35" s="1893"/>
      <c r="N35" s="1505"/>
      <c r="O35" s="1893"/>
      <c r="P35" s="1905"/>
      <c r="Q35" s="1506"/>
      <c r="R35" s="1893"/>
      <c r="S35" s="1893"/>
      <c r="T35" s="1507"/>
      <c r="U35" s="1893"/>
      <c r="V35" s="1905"/>
      <c r="W35" s="1508"/>
      <c r="X35" s="1893"/>
      <c r="Y35" s="1893"/>
      <c r="Z35" s="1505"/>
      <c r="AA35" s="1893"/>
      <c r="AB35" s="1905"/>
      <c r="AC35" s="1509"/>
      <c r="AD35" s="1893"/>
      <c r="AE35" s="1893"/>
      <c r="AF35" s="1425"/>
      <c r="AG35" s="1425"/>
      <c r="AH35" s="1510"/>
      <c r="AI35" s="1217"/>
      <c r="AJ35"/>
    </row>
    <row r="36" spans="4:64" ht="14.25" customHeight="1">
      <c r="D36" s="1936"/>
      <c r="E36" s="1938"/>
      <c r="F36" s="1938"/>
      <c r="G36" s="1942"/>
      <c r="H36" s="1521"/>
      <c r="I36" s="1944"/>
      <c r="J36" s="1906"/>
      <c r="K36" s="1504"/>
      <c r="L36" s="1894"/>
      <c r="M36" s="1894"/>
      <c r="N36" s="1511"/>
      <c r="O36" s="1894"/>
      <c r="P36" s="1906"/>
      <c r="Q36" s="1512"/>
      <c r="R36" s="1894"/>
      <c r="S36" s="1894"/>
      <c r="T36" s="1513"/>
      <c r="U36" s="1894"/>
      <c r="V36" s="1906"/>
      <c r="W36" s="1514"/>
      <c r="X36" s="1894"/>
      <c r="Y36" s="1894"/>
      <c r="Z36" s="1511"/>
      <c r="AA36" s="1894"/>
      <c r="AB36" s="1906"/>
      <c r="AC36" s="1515"/>
      <c r="AD36" s="1894"/>
      <c r="AE36" s="1894"/>
      <c r="AF36" s="1516"/>
      <c r="AG36" s="1516"/>
      <c r="AH36" s="1947"/>
      <c r="AI36" s="1948"/>
      <c r="AJ36"/>
    </row>
    <row r="37" spans="4:64" ht="14.25" customHeight="1">
      <c r="D37" s="1936"/>
      <c r="E37" s="1938"/>
      <c r="F37" s="1938"/>
      <c r="G37" s="1942"/>
      <c r="H37" s="1521"/>
      <c r="I37" s="1944"/>
      <c r="J37" s="1906"/>
      <c r="K37" s="1504"/>
      <c r="L37" s="1894"/>
      <c r="M37" s="1894"/>
      <c r="N37" s="1511"/>
      <c r="O37" s="1894"/>
      <c r="P37" s="1906"/>
      <c r="Q37" s="1512"/>
      <c r="R37" s="1894"/>
      <c r="S37" s="1894"/>
      <c r="T37" s="1513"/>
      <c r="U37" s="1894"/>
      <c r="V37" s="1906"/>
      <c r="W37" s="1514"/>
      <c r="X37" s="1894"/>
      <c r="Y37" s="1894"/>
      <c r="Z37" s="1424"/>
      <c r="AA37" s="1516"/>
      <c r="AB37" s="1947"/>
      <c r="AC37" s="1947"/>
      <c r="AD37" s="1947"/>
      <c r="AE37" s="1947"/>
      <c r="AF37" s="1947"/>
      <c r="AG37" s="1947"/>
      <c r="AH37" s="1947"/>
      <c r="AI37" s="1948"/>
      <c r="AJ37"/>
    </row>
    <row r="38" spans="4:64" ht="14.25" customHeight="1">
      <c r="D38" s="1936"/>
      <c r="E38" s="1938"/>
      <c r="F38" s="1938"/>
      <c r="G38" s="1942"/>
      <c r="H38" s="1521"/>
      <c r="I38" s="1944"/>
      <c r="J38" s="1906"/>
      <c r="K38" s="1504"/>
      <c r="L38" s="1894"/>
      <c r="M38" s="1894"/>
      <c r="N38" s="1511"/>
      <c r="O38" s="1894"/>
      <c r="P38" s="1906"/>
      <c r="Q38" s="1512"/>
      <c r="R38" s="1894"/>
      <c r="S38" s="1894"/>
      <c r="T38" s="1517"/>
      <c r="U38" s="1518"/>
      <c r="V38" s="1947"/>
      <c r="W38" s="1947"/>
      <c r="X38" s="1947"/>
      <c r="Y38" s="1947"/>
      <c r="Z38" s="1947"/>
      <c r="AA38" s="1947"/>
      <c r="AB38" s="1947"/>
      <c r="AC38" s="1947"/>
      <c r="AD38" s="1947"/>
      <c r="AE38" s="1947"/>
      <c r="AF38" s="1947"/>
      <c r="AG38" s="1947"/>
      <c r="AH38" s="1947"/>
      <c r="AI38" s="1948"/>
      <c r="AJ38"/>
    </row>
    <row r="39" spans="4:64" ht="11.25" customHeight="1">
      <c r="D39" s="1936"/>
      <c r="E39" s="1938"/>
      <c r="F39" s="1938"/>
      <c r="G39" s="1942"/>
      <c r="H39" s="1522"/>
      <c r="I39" s="1944"/>
      <c r="J39" s="1906"/>
      <c r="K39" s="1504"/>
      <c r="L39" s="1894"/>
      <c r="M39" s="1894"/>
      <c r="N39" s="1516"/>
      <c r="O39" s="1516"/>
      <c r="P39" s="1947"/>
      <c r="Q39" s="1947"/>
      <c r="R39" s="1947"/>
      <c r="S39" s="1947"/>
      <c r="T39" s="1947"/>
      <c r="U39" s="1947"/>
      <c r="V39" s="1947"/>
      <c r="W39" s="1947"/>
      <c r="X39" s="1947"/>
      <c r="Y39" s="1947"/>
      <c r="Z39" s="1947"/>
      <c r="AA39" s="1947"/>
      <c r="AB39" s="1947"/>
      <c r="AC39" s="1947"/>
      <c r="AD39" s="1947"/>
      <c r="AE39" s="1947"/>
      <c r="AF39" s="1947"/>
      <c r="AG39" s="1947"/>
      <c r="AH39" s="1947"/>
      <c r="AI39" s="1948"/>
      <c r="AJ39"/>
    </row>
    <row r="40" spans="4:64" s="1476" customFormat="1" ht="11.25" customHeight="1">
      <c r="D40" s="1936"/>
      <c r="E40" s="1938"/>
      <c r="F40" s="1949"/>
      <c r="G40" s="1890"/>
      <c r="H40" s="1519"/>
      <c r="I40" s="1523"/>
      <c r="J40" s="1945"/>
      <c r="K40" s="1945"/>
      <c r="L40" s="1945"/>
      <c r="M40" s="1945"/>
      <c r="N40" s="1945"/>
      <c r="O40" s="1945"/>
      <c r="P40" s="1945"/>
      <c r="Q40" s="1945"/>
      <c r="R40" s="1945"/>
      <c r="S40" s="1945"/>
      <c r="T40" s="1945"/>
      <c r="U40" s="1945"/>
      <c r="V40" s="1945"/>
      <c r="W40" s="1945"/>
      <c r="X40" s="1945"/>
      <c r="Y40" s="1945"/>
      <c r="Z40" s="1945"/>
      <c r="AA40" s="1945"/>
      <c r="AB40" s="1945"/>
      <c r="AC40" s="1945"/>
      <c r="AD40" s="1945"/>
      <c r="AE40" s="1945"/>
      <c r="AF40" s="1945"/>
      <c r="AG40" s="1945"/>
      <c r="AH40" s="1945"/>
      <c r="AI40" s="1946"/>
      <c r="AJ40"/>
      <c r="AK40" s="221"/>
      <c r="AL40"/>
      <c r="AM40"/>
      <c r="AN40"/>
      <c r="AO40"/>
      <c r="AP40"/>
      <c r="AQ40"/>
      <c r="AR40"/>
      <c r="AS40"/>
      <c r="AT40"/>
      <c r="AU40"/>
      <c r="AV40"/>
      <c r="AW40"/>
      <c r="AX40"/>
      <c r="AY40"/>
      <c r="AZ40"/>
      <c r="BA40"/>
      <c r="BB40"/>
      <c r="BC40"/>
      <c r="BD40"/>
      <c r="BE40"/>
      <c r="BF40"/>
      <c r="BG40"/>
      <c r="BH40"/>
      <c r="BI40"/>
      <c r="BJ40"/>
      <c r="BK40"/>
      <c r="BL40"/>
    </row>
    <row r="41" spans="4:64" ht="11.25" customHeight="1">
      <c r="AK41"/>
    </row>
    <row r="42" spans="4:64" ht="11.25" customHeight="1">
      <c r="AK42"/>
    </row>
    <row r="43" spans="4:64" ht="11.25" customHeight="1">
      <c r="AK43"/>
    </row>
    <row r="44" spans="4:64" ht="11.25" customHeight="1">
      <c r="AK44"/>
    </row>
    <row r="45" spans="4:64" ht="11.25" customHeight="1">
      <c r="AK45"/>
    </row>
    <row r="46" spans="4:64" ht="11.25" customHeight="1">
      <c r="AK46"/>
    </row>
    <row r="47" spans="4:64" ht="11.25" customHeight="1">
      <c r="AK47"/>
    </row>
    <row r="48" spans="4:64" ht="11.25" customHeight="1">
      <c r="AK48"/>
    </row>
    <row r="49" spans="37:37" ht="11.25" customHeight="1">
      <c r="AK49"/>
    </row>
  </sheetData>
  <sheetProtection formatColumns="0" formatRows="0" insertRows="0" deleteColumns="0" deleteRows="0" sort="0" autoFilter="0"/>
  <mergeCells count="151">
    <mergeCell ref="AI8:AI10"/>
    <mergeCell ref="D5:J5"/>
    <mergeCell ref="AB13:AI13"/>
    <mergeCell ref="Y11:Y13"/>
    <mergeCell ref="X11:X13"/>
    <mergeCell ref="AA11:AA12"/>
    <mergeCell ref="R11:R14"/>
    <mergeCell ref="S11:S14"/>
    <mergeCell ref="U11:U13"/>
    <mergeCell ref="V11:V13"/>
    <mergeCell ref="V14:AI14"/>
    <mergeCell ref="F11:F16"/>
    <mergeCell ref="I11:I15"/>
    <mergeCell ref="J11:J15"/>
    <mergeCell ref="L11:L15"/>
    <mergeCell ref="M11:M15"/>
    <mergeCell ref="O11:O14"/>
    <mergeCell ref="P11:P14"/>
    <mergeCell ref="L9:M9"/>
    <mergeCell ref="P9:P10"/>
    <mergeCell ref="R9:S9"/>
    <mergeCell ref="AB35:AB36"/>
    <mergeCell ref="O23:O26"/>
    <mergeCell ref="P23:P26"/>
    <mergeCell ref="R23:R26"/>
    <mergeCell ref="S23:S26"/>
    <mergeCell ref="AB23:AB24"/>
    <mergeCell ref="AD23:AD24"/>
    <mergeCell ref="AE23:AE24"/>
    <mergeCell ref="AA23:AA24"/>
    <mergeCell ref="AB29:AB30"/>
    <mergeCell ref="L35:L39"/>
    <mergeCell ref="M35:M39"/>
    <mergeCell ref="O35:O38"/>
    <mergeCell ref="P35:P38"/>
    <mergeCell ref="R35:R38"/>
    <mergeCell ref="S35:S38"/>
    <mergeCell ref="D35:D40"/>
    <mergeCell ref="E35:E40"/>
    <mergeCell ref="F35:F40"/>
    <mergeCell ref="G35:G40"/>
    <mergeCell ref="I35:I39"/>
    <mergeCell ref="J35:J39"/>
    <mergeCell ref="J40:AI40"/>
    <mergeCell ref="AD35:AD36"/>
    <mergeCell ref="AE35:AE36"/>
    <mergeCell ref="AH36:AI36"/>
    <mergeCell ref="AB37:AI37"/>
    <mergeCell ref="V38:AI38"/>
    <mergeCell ref="P39:AI39"/>
    <mergeCell ref="U35:U37"/>
    <mergeCell ref="V35:V37"/>
    <mergeCell ref="X35:X37"/>
    <mergeCell ref="Y35:Y37"/>
    <mergeCell ref="AA35:AA36"/>
    <mergeCell ref="L29:L33"/>
    <mergeCell ref="M29:M33"/>
    <mergeCell ref="O29:O32"/>
    <mergeCell ref="P29:P32"/>
    <mergeCell ref="R29:R32"/>
    <mergeCell ref="S29:S32"/>
    <mergeCell ref="D29:D34"/>
    <mergeCell ref="E29:E34"/>
    <mergeCell ref="F29:F34"/>
    <mergeCell ref="G29:G34"/>
    <mergeCell ref="I29:I33"/>
    <mergeCell ref="J29:J33"/>
    <mergeCell ref="J34:AI34"/>
    <mergeCell ref="AD29:AD30"/>
    <mergeCell ref="AE29:AE30"/>
    <mergeCell ref="AH30:AI30"/>
    <mergeCell ref="AB31:AI31"/>
    <mergeCell ref="V32:AI32"/>
    <mergeCell ref="P33:AI33"/>
    <mergeCell ref="U29:U31"/>
    <mergeCell ref="V29:V31"/>
    <mergeCell ref="X29:X31"/>
    <mergeCell ref="Y29:Y31"/>
    <mergeCell ref="AA29:AA30"/>
    <mergeCell ref="AH24:AI24"/>
    <mergeCell ref="AB25:AI25"/>
    <mergeCell ref="V26:AI26"/>
    <mergeCell ref="P27:AI27"/>
    <mergeCell ref="U23:U25"/>
    <mergeCell ref="V23:V25"/>
    <mergeCell ref="X23:X25"/>
    <mergeCell ref="Y23:Y25"/>
    <mergeCell ref="L23:L27"/>
    <mergeCell ref="M23:M27"/>
    <mergeCell ref="D23:D28"/>
    <mergeCell ref="E23:E28"/>
    <mergeCell ref="F23:F28"/>
    <mergeCell ref="G23:G28"/>
    <mergeCell ref="I23:I27"/>
    <mergeCell ref="J23:J27"/>
    <mergeCell ref="J28:AI28"/>
    <mergeCell ref="AD17:AD18"/>
    <mergeCell ref="AE17:AE18"/>
    <mergeCell ref="AH18:AI18"/>
    <mergeCell ref="AB19:AI19"/>
    <mergeCell ref="V20:AI20"/>
    <mergeCell ref="P21:AI21"/>
    <mergeCell ref="U17:U19"/>
    <mergeCell ref="V17:V19"/>
    <mergeCell ref="X17:X19"/>
    <mergeCell ref="Y17:Y19"/>
    <mergeCell ref="AA17:AA18"/>
    <mergeCell ref="AB17:AB18"/>
    <mergeCell ref="L17:L21"/>
    <mergeCell ref="M17:M21"/>
    <mergeCell ref="O17:O20"/>
    <mergeCell ref="P17:P20"/>
    <mergeCell ref="R17:R20"/>
    <mergeCell ref="D17:D22"/>
    <mergeCell ref="E17:E22"/>
    <mergeCell ref="F17:F22"/>
    <mergeCell ref="G17:G22"/>
    <mergeCell ref="I17:I21"/>
    <mergeCell ref="J17:J21"/>
    <mergeCell ref="J22:AI22"/>
    <mergeCell ref="P15:AI15"/>
    <mergeCell ref="J16:AI16"/>
    <mergeCell ref="G11:G16"/>
    <mergeCell ref="D11:D16"/>
    <mergeCell ref="E11:E16"/>
    <mergeCell ref="S17:S20"/>
    <mergeCell ref="AB11:AB12"/>
    <mergeCell ref="AD11:AD12"/>
    <mergeCell ref="AE11:AE12"/>
    <mergeCell ref="AH12:AI12"/>
    <mergeCell ref="D4:J4"/>
    <mergeCell ref="D8:D10"/>
    <mergeCell ref="E8:E10"/>
    <mergeCell ref="J8:J10"/>
    <mergeCell ref="AH9:AH10"/>
    <mergeCell ref="Z9:AA10"/>
    <mergeCell ref="AF9:AG10"/>
    <mergeCell ref="X9:Y9"/>
    <mergeCell ref="V9:V10"/>
    <mergeCell ref="T9:U10"/>
    <mergeCell ref="L8:P8"/>
    <mergeCell ref="R8:V8"/>
    <mergeCell ref="X8:AB8"/>
    <mergeCell ref="AD8:AH8"/>
    <mergeCell ref="F8:G8"/>
    <mergeCell ref="F9:F10"/>
    <mergeCell ref="G9:G10"/>
    <mergeCell ref="N9:O10"/>
    <mergeCell ref="H8:I10"/>
    <mergeCell ref="AB9:AB10"/>
    <mergeCell ref="AD9:AE9"/>
  </mergeCells>
  <dataValidations count="2">
    <dataValidation type="list" errorStyle="warning" allowBlank="1" showInputMessage="1" errorTitle="Ошибка" error="Выберите значение из списка" prompt="Выберите значение из списка или укажите свой вид твердых коммунальных отходов" sqref="AC17 AC23 AC35 AC29 AC11">
      <formula1>list_typeTKO</formula1>
    </dataValidation>
    <dataValidation type="textLength" operator="lessThanOrEqual" allowBlank="1" showInputMessage="1" showErrorMessage="1" errorTitle="Ошибка" error="Допускается ввод не более 900 символов!" sqref="AI29 AI23 P17:P20 J23:J27 J29:J33 AI35 J35:J39 P35:P38 P29:P32 AI17 J17:J21 P23:P26 AI11 J11:J15 P11:P14">
      <formula1>900</formula1>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59999389629810485"/>
  </sheetPr>
  <dimension ref="A1:I58"/>
  <sheetViews>
    <sheetView showGridLines="0" topLeftCell="C3" zoomScale="90" workbookViewId="0"/>
  </sheetViews>
  <sheetFormatPr defaultColWidth="9.140625" defaultRowHeight="11.25" customHeight="1"/>
  <cols>
    <col min="1" max="1" width="15" style="1603" hidden="1" customWidth="1"/>
    <col min="2" max="2" width="15" style="427" hidden="1" customWidth="1"/>
    <col min="3" max="3" width="3.7109375" style="381" customWidth="1"/>
    <col min="4" max="4" width="6.85546875" style="382" customWidth="1"/>
    <col min="5" max="5" width="52.28515625" style="381" customWidth="1"/>
    <col min="6" max="6" width="48.85546875" style="381" customWidth="1"/>
    <col min="7" max="7" width="121.7109375" style="381" customWidth="1"/>
    <col min="8" max="8" width="9.140625" style="381"/>
    <col min="9" max="9" width="65" style="381" customWidth="1"/>
  </cols>
  <sheetData>
    <row r="1" spans="1:9" ht="11.25" hidden="1" customHeight="1">
      <c r="A1" s="1603" t="s">
        <v>290</v>
      </c>
    </row>
    <row r="2" spans="1:9" ht="11.25" hidden="1" customHeight="1"/>
    <row r="3" spans="1:9" s="403" customFormat="1" ht="11.25" customHeight="1">
      <c r="A3" s="1603"/>
      <c r="B3" s="427"/>
      <c r="D3" s="404"/>
    </row>
    <row r="4" spans="1:9" ht="36.75" customHeight="1">
      <c r="D4" s="1867" t="str">
        <f>ORG_INFO_NAME_FORM</f>
        <v>Форма 1. Информация о регулируемой организации, осуществляющей холодное водоснабжение
(далее – регулируемая организация) (общая информация)</v>
      </c>
      <c r="E4" s="1868"/>
      <c r="F4" s="1869"/>
      <c r="I4" s="630"/>
    </row>
    <row r="5" spans="1:9" ht="17.25" customHeight="1">
      <c r="D5" s="1961" t="str">
        <f>IF(org=0,"Не определено",org)</f>
        <v>АО СЗ "КМАпроектжилстрой"</v>
      </c>
      <c r="E5" s="1961"/>
      <c r="F5" s="1961"/>
      <c r="I5" s="630"/>
    </row>
    <row r="6" spans="1:9" s="403" customFormat="1" ht="11.25" customHeight="1">
      <c r="A6" s="1603"/>
      <c r="B6" s="427"/>
      <c r="D6" s="629"/>
      <c r="E6" s="629"/>
      <c r="F6" s="666"/>
      <c r="G6" s="629"/>
    </row>
    <row r="7" spans="1:9" ht="11.25" hidden="1" customHeight="1">
      <c r="A7" s="383"/>
      <c r="B7" s="428"/>
      <c r="C7" s="383"/>
      <c r="D7" s="389"/>
      <c r="E7" s="1957"/>
      <c r="F7" s="1957"/>
    </row>
    <row r="8" spans="1:9" ht="11.25" customHeight="1">
      <c r="A8" s="383"/>
      <c r="B8" s="428"/>
      <c r="C8" s="383"/>
      <c r="D8" s="1953" t="s">
        <v>291</v>
      </c>
      <c r="E8" s="1954"/>
      <c r="F8" s="1954"/>
      <c r="G8" s="1958" t="s">
        <v>292</v>
      </c>
    </row>
    <row r="9" spans="1:9" ht="11.25" customHeight="1">
      <c r="A9" s="383"/>
      <c r="B9" s="428"/>
      <c r="C9" s="383"/>
      <c r="D9" s="398" t="s">
        <v>88</v>
      </c>
      <c r="E9" s="374" t="s">
        <v>293</v>
      </c>
      <c r="F9" s="374" t="s">
        <v>294</v>
      </c>
      <c r="G9" s="1959"/>
    </row>
    <row r="10" spans="1:9" ht="12" hidden="1" customHeight="1">
      <c r="A10" s="383"/>
      <c r="B10" s="428"/>
      <c r="C10" s="383"/>
      <c r="D10" s="390"/>
      <c r="E10" s="390"/>
      <c r="F10" s="390"/>
      <c r="G10" s="390"/>
    </row>
    <row r="11" spans="1:9" ht="22.5" hidden="1" customHeight="1">
      <c r="A11" s="383"/>
      <c r="B11" s="428"/>
      <c r="C11" s="383"/>
      <c r="D11" s="917" t="s">
        <v>109</v>
      </c>
      <c r="E11" s="920" t="s">
        <v>295</v>
      </c>
      <c r="F11" s="919" t="str">
        <f>IF(region_name="","",region_name)</f>
        <v>Белгородская область</v>
      </c>
      <c r="G11" s="920" t="s">
        <v>296</v>
      </c>
      <c r="H11" s="401"/>
    </row>
    <row r="12" spans="1:9" ht="22.5" hidden="1" customHeight="1">
      <c r="A12" s="383"/>
      <c r="B12" s="428"/>
      <c r="C12" s="383"/>
      <c r="D12" s="373" t="s">
        <v>109</v>
      </c>
      <c r="E12" s="372" t="str">
        <f>IF(TEMPLATE_SPHERE="TKO","Данные об организации (индивидуальном предпринимателе)","Данные о регулируемой организации"&amp;IF(TEMPLATE_SPHERE="HEAT",", о единой теплоснабжающей организации в ценовых зонах теплоснабжения, о теплоснабжающей организации в ценовых зонах теплоснабжения и теплосетевой организации в ценовых зонах теплоснабжения ",""))</f>
        <v>Данные о регулируемой организации</v>
      </c>
      <c r="F12" s="371" t="s">
        <v>297</v>
      </c>
      <c r="G12" s="400"/>
      <c r="H12" s="401"/>
    </row>
    <row r="13" spans="1:9" ht="22.5" customHeight="1">
      <c r="A13" s="383"/>
      <c r="B13" s="428"/>
      <c r="C13" s="383"/>
      <c r="D13" s="373" t="s">
        <v>109</v>
      </c>
      <c r="E13" s="370" t="str">
        <f>"Наименование юридического лица"&amp;IF(TEMPLATE_SPHERE="TKO"," (индивидуального предпринимателя)","")</f>
        <v>Наименование юридического лица</v>
      </c>
      <c r="F13" s="369"/>
      <c r="G13" s="372" t="str">
        <f>"Наименование юридического лица"&amp;IF(TEMPLATE_SPHERE="HEAT"," (согласно уставу регулируемой организации)"," указывается согласно уставу "&amp;IF(TEMPLATE_SPHERE="TKO","организации. Наименование индивидуального предпринимателя указывается согласно сведениям из ЕГРИП.","регулируемой организации."))</f>
        <v>Наименование юридического лица указывается согласно уставу регулируемой организации.</v>
      </c>
      <c r="H13" s="401"/>
    </row>
    <row r="14" spans="1:9" ht="22.5" hidden="1" customHeight="1">
      <c r="A14" s="383"/>
      <c r="B14" s="428"/>
      <c r="C14" s="383"/>
      <c r="D14" s="917" t="s">
        <v>298</v>
      </c>
      <c r="E14" s="918" t="s">
        <v>299</v>
      </c>
      <c r="F14" s="919" t="str">
        <f>IF(inn="","",inn)</f>
        <v>3128001437</v>
      </c>
      <c r="G14" s="920" t="s">
        <v>300</v>
      </c>
      <c r="H14" s="401"/>
    </row>
    <row r="15" spans="1:9" ht="22.5" hidden="1" customHeight="1">
      <c r="A15" s="383"/>
      <c r="B15" s="428"/>
      <c r="C15" s="383"/>
      <c r="D15" s="917" t="s">
        <v>301</v>
      </c>
      <c r="E15" s="918" t="s">
        <v>302</v>
      </c>
      <c r="F15" s="919" t="str">
        <f>IF(kpp="","",kpp)</f>
        <v>312801001</v>
      </c>
      <c r="G15" s="920" t="s">
        <v>303</v>
      </c>
      <c r="H15" s="401"/>
    </row>
    <row r="16" spans="1:9" ht="36.75" customHeight="1">
      <c r="A16" s="383"/>
      <c r="B16" s="428"/>
      <c r="C16" s="383"/>
      <c r="D16" s="373" t="s">
        <v>110</v>
      </c>
      <c r="E16" s="370" t="str">
        <f>"Основной государственный регистрационный номер (ОГРН)"&amp;IF(TEMPLATE_SPHERE="TKO",""," (основной государственный регистрационный номер индивидуального предпринимателя (ОГРНИП)")</f>
        <v>Основной государственный регистрационный номер (ОГРН) (основной государственный регистрационный номер индивидуального предпринимателя (ОГРНИП)</v>
      </c>
      <c r="F16" s="369"/>
      <c r="G16" s="372" t="str">
        <f>"Указывается основной государственный регистрационный номер юридического лица"&amp;IF(TEMPLATE_SPHERE="TKO",""," (индивидуального предпринимателя)")&amp;"."</f>
        <v>Указывается основной государственный регистрационный номер юридического лица (индивидуального предпринимателя).</v>
      </c>
      <c r="H16" s="401"/>
    </row>
    <row r="17" spans="1:9" ht="22.5" customHeight="1">
      <c r="A17" s="383"/>
      <c r="B17" s="428"/>
      <c r="C17" s="383"/>
      <c r="D17" s="373" t="s">
        <v>90</v>
      </c>
      <c r="E17" s="370" t="str">
        <f>"Дата присвоения ОГРН"&amp;IF(TEMPLATE_SPHERE="TKO",""," (ОГРНИП)")</f>
        <v>Дата присвоения ОГРН (ОГРНИП)</v>
      </c>
      <c r="F17" s="1648" t="s">
        <v>18</v>
      </c>
      <c r="G17" s="372" t="str">
        <f>"Дата присвоения ОГРН"&amp;IF(TEMPLATE_SPHERE="TKO",""," (ОГРНИП)")&amp;" указывается в виде «ДД.ММ.ГГГГ»."</f>
        <v>Дата присвоения ОГРН (ОГРНИП) указывается в виде «ДД.ММ.ГГГГ».</v>
      </c>
      <c r="H17" s="401"/>
    </row>
    <row r="18" spans="1:9" ht="56.25" customHeight="1">
      <c r="A18" s="383"/>
      <c r="B18" s="428"/>
      <c r="C18" s="383"/>
      <c r="D18" s="373" t="s">
        <v>91</v>
      </c>
      <c r="E18" s="370" t="str">
        <f>"Наименование органа, принявшего решение о "&amp;IF(TEMPLATE_SPHERE="TKO","государственной регистрации организации ","регистрации в соответствии со свидетельством о государственной регистрации")&amp;" в качестве юридического лица (о государственной регистрации физического лица в качестве индивидуального предпринимателя)"</f>
        <v>Наименование органа, принявшего решение о регистрации в соответствии со свидетельством о государственной регистрации в качестве юридического лица (о государственной регистрации физического лица в качестве индивидуального предпринимателя)</v>
      </c>
      <c r="F18" s="369"/>
      <c r="G18" s="400"/>
      <c r="H18" s="401"/>
    </row>
    <row r="19" spans="1:9" ht="22.5" hidden="1" customHeight="1">
      <c r="A19" s="1955">
        <v>1</v>
      </c>
      <c r="B19" s="428"/>
      <c r="C19" s="1960"/>
      <c r="D19" s="368">
        <v>5</v>
      </c>
      <c r="E19" s="370" t="s">
        <v>304</v>
      </c>
      <c r="F19" s="371" t="s">
        <v>297</v>
      </c>
      <c r="G19" s="372" t="s">
        <v>305</v>
      </c>
      <c r="H19" s="401"/>
      <c r="I19" s="765"/>
    </row>
    <row r="20" spans="1:9" ht="33.75" hidden="1" customHeight="1">
      <c r="A20" s="1955"/>
      <c r="B20" s="428"/>
      <c r="C20" s="1960"/>
      <c r="D20" s="373" t="s">
        <v>306</v>
      </c>
      <c r="E20" s="367" t="s">
        <v>307</v>
      </c>
      <c r="F20" s="794" t="s">
        <v>18</v>
      </c>
      <c r="G20" s="400"/>
      <c r="H20" s="401"/>
      <c r="I20" s="765"/>
    </row>
    <row r="21" spans="1:9" ht="22.5" hidden="1" customHeight="1">
      <c r="A21" s="1955"/>
      <c r="B21" s="428"/>
      <c r="C21" s="1960"/>
      <c r="D21" s="373" t="s">
        <v>308</v>
      </c>
      <c r="E21" s="367" t="s">
        <v>309</v>
      </c>
      <c r="F21" s="1649" t="s">
        <v>18</v>
      </c>
      <c r="G21" s="372" t="s">
        <v>310</v>
      </c>
      <c r="H21" s="401"/>
      <c r="I21" s="765"/>
    </row>
    <row r="22" spans="1:9" ht="22.5" hidden="1" customHeight="1">
      <c r="A22" s="1955"/>
      <c r="B22" s="428"/>
      <c r="C22" s="1960"/>
      <c r="D22" s="373" t="s">
        <v>311</v>
      </c>
      <c r="E22" s="367" t="s">
        <v>312</v>
      </c>
      <c r="F22" s="794" t="s">
        <v>18</v>
      </c>
      <c r="G22" s="400"/>
      <c r="H22" s="401"/>
      <c r="I22" s="765"/>
    </row>
    <row r="23" spans="1:9" ht="22.5" hidden="1" customHeight="1">
      <c r="A23" s="1955"/>
      <c r="B23" s="428"/>
      <c r="C23" s="1960"/>
      <c r="D23" s="373" t="s">
        <v>313</v>
      </c>
      <c r="E23" s="367" t="s">
        <v>314</v>
      </c>
      <c r="F23" s="794" t="s">
        <v>18</v>
      </c>
      <c r="G23" s="372" t="s">
        <v>315</v>
      </c>
      <c r="H23" s="401"/>
      <c r="I23" s="765"/>
    </row>
    <row r="24" spans="1:9" s="427" customFormat="1" ht="24.75" hidden="1" customHeight="1">
      <c r="A24" s="383"/>
      <c r="B24" s="428"/>
      <c r="C24" s="428"/>
      <c r="D24" s="914" t="s">
        <v>90</v>
      </c>
      <c r="E24" s="916" t="s">
        <v>316</v>
      </c>
      <c r="F24" s="921" t="s">
        <v>297</v>
      </c>
      <c r="G24" s="916"/>
    </row>
    <row r="25" spans="1:9" s="427" customFormat="1" ht="11.25" hidden="1" customHeight="1">
      <c r="A25" s="383"/>
      <c r="B25" s="428"/>
      <c r="C25" s="428"/>
      <c r="D25" s="914" t="s">
        <v>317</v>
      </c>
      <c r="E25" s="915" t="s">
        <v>318</v>
      </c>
      <c r="F25" s="921" t="s">
        <v>297</v>
      </c>
      <c r="G25" s="916"/>
    </row>
    <row r="26" spans="1:9" s="427" customFormat="1" ht="11.25" hidden="1" customHeight="1">
      <c r="A26" s="383"/>
      <c r="B26" s="428"/>
      <c r="C26" s="428"/>
      <c r="D26" s="914" t="s">
        <v>319</v>
      </c>
      <c r="E26" s="922" t="s">
        <v>320</v>
      </c>
      <c r="F26" s="923"/>
      <c r="G26" s="916" t="str">
        <f>"Указывается фамилия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f>
        <v>Указывается фамилия должностного лица организации холодного водоснабжения, ответственного за размещение данных, в соответствии с паспортными данными физического лица.</v>
      </c>
    </row>
    <row r="27" spans="1:9" s="427" customFormat="1" ht="11.25" hidden="1" customHeight="1">
      <c r="A27" s="383"/>
      <c r="B27" s="428"/>
      <c r="C27" s="428"/>
      <c r="D27" s="914" t="s">
        <v>321</v>
      </c>
      <c r="E27" s="922" t="s">
        <v>322</v>
      </c>
      <c r="F27" s="923"/>
      <c r="G27" s="916" t="str">
        <f>"Указывается имя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f>
        <v>Указывается имя должностного лица организации холодного водоснабжения, ответственного за размещение данных, в соответствии с паспортными данными физического лица.</v>
      </c>
    </row>
    <row r="28" spans="1:9" s="427" customFormat="1" ht="11.25" hidden="1" customHeight="1">
      <c r="A28" s="383"/>
      <c r="B28" s="428"/>
      <c r="C28" s="428"/>
      <c r="D28" s="914" t="s">
        <v>323</v>
      </c>
      <c r="E28" s="922" t="s">
        <v>324</v>
      </c>
      <c r="F28" s="923"/>
      <c r="G28" s="916" t="str">
        <f>"Указывается отчество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 (при наличии)."</f>
        <v>Указывается отчество должностного лица организации холодного водоснабжения, ответственного за размещение данных, в соответствии с паспортными данными физического лица (при наличии).</v>
      </c>
    </row>
    <row r="29" spans="1:9" s="427" customFormat="1" ht="11.25" hidden="1" customHeight="1">
      <c r="A29" s="383"/>
      <c r="B29" s="428"/>
      <c r="C29" s="428"/>
      <c r="D29" s="914" t="s">
        <v>325</v>
      </c>
      <c r="E29" s="915" t="s">
        <v>326</v>
      </c>
      <c r="F29" s="923"/>
      <c r="G29" s="916"/>
    </row>
    <row r="30" spans="1:9" s="427" customFormat="1" ht="11.25" hidden="1" customHeight="1">
      <c r="A30" s="383"/>
      <c r="B30" s="428"/>
      <c r="C30" s="428"/>
      <c r="D30" s="914" t="s">
        <v>327</v>
      </c>
      <c r="E30" s="915" t="s">
        <v>328</v>
      </c>
      <c r="F30" s="923"/>
      <c r="G30" s="916"/>
    </row>
    <row r="31" spans="1:9" s="427" customFormat="1" ht="11.25" hidden="1" customHeight="1">
      <c r="A31" s="383"/>
      <c r="B31" s="428"/>
      <c r="C31" s="428"/>
      <c r="D31" s="914" t="s">
        <v>329</v>
      </c>
      <c r="E31" s="915" t="s">
        <v>330</v>
      </c>
      <c r="F31" s="924"/>
      <c r="G31" s="916"/>
    </row>
    <row r="32" spans="1:9" ht="22.5" customHeight="1">
      <c r="A32" s="383" t="str">
        <f>IF(TEMPLATE_SPHERE="HEAT","6","5")</f>
        <v>5</v>
      </c>
      <c r="B32" s="428"/>
      <c r="C32" s="383"/>
      <c r="D32" s="368" t="str">
        <f>A32</f>
        <v>5</v>
      </c>
      <c r="E32" s="366" t="str">
        <f>"Фамилия, имя и отчество руководителя"&amp;IF(TEMPLATE_SPHERE="HEAT"," регулируемой организации, ЕТО, ТО ",IF(TEMPLATE_SPHERE&lt;&gt;"TKO"," регулируемой организации"," организации"))&amp;IF(TEMPLATE_SPHERE&lt;&gt;"TKO"," (индивидуального предпринимателя)","")&amp;":"</f>
        <v>Фамилия, имя и отчество руководителя регулируемой организации (индивидуального предпринимателя):</v>
      </c>
      <c r="F32" s="371" t="s">
        <v>297</v>
      </c>
      <c r="G32" s="400"/>
      <c r="H32" s="401"/>
    </row>
    <row r="33" spans="1:8" ht="22.5" customHeight="1">
      <c r="A33" s="383"/>
      <c r="B33" s="428"/>
      <c r="C33" s="383"/>
      <c r="D33" s="368" t="str">
        <f>D32&amp;".1"</f>
        <v>5.1</v>
      </c>
      <c r="E33" s="370" t="str">
        <f>"фамилия"&amp;IF(TEMPLATE_SPHERE&lt;&gt;"HEAT"," руководителя","")</f>
        <v>фамилия руководителя</v>
      </c>
      <c r="F33" s="369"/>
      <c r="G33" s="372" t="str">
        <f>"Указывается фамилия руководителя"&amp;IF(TEMPLATE_SPHERE&lt;&gt;"TKO"," регулируемой организации"&amp;IF(TEMPLATE_SPHERE="HEAT",", ЕТО, ТО","")," организации")&amp;" в соответствии с паспортными данными физического лица."</f>
        <v>Указывается фамилия руководителя регулируемой организации в соответствии с паспортными данными физического лица.</v>
      </c>
      <c r="H33" s="401"/>
    </row>
    <row r="34" spans="1:8" ht="22.5" customHeight="1">
      <c r="A34" s="383"/>
      <c r="B34" s="428"/>
      <c r="C34" s="383"/>
      <c r="D34" s="368" t="str">
        <f>D32&amp;".2"</f>
        <v>5.2</v>
      </c>
      <c r="E34" s="370" t="str">
        <f>"имя"&amp;IF(TEMPLATE_SPHERE&lt;&gt;"HEAT"," руководителя","")</f>
        <v>имя руководителя</v>
      </c>
      <c r="F34" s="369"/>
      <c r="G34" s="372" t="str">
        <f>"Указывается имя руководителя"&amp;IF(TEMPLATE_SPHERE&lt;&gt;"TKO"," регулируемой организации"&amp;IF(TEMPLATE_SPHERE="HEAT",", ЕТО, ТО","")," организации")&amp;" в соответствии с паспортными данными физического лица."</f>
        <v>Указывается имя руководителя регулируемой организации в соответствии с паспортными данными физического лица.</v>
      </c>
      <c r="H34" s="401"/>
    </row>
    <row r="35" spans="1:8" ht="22.5" customHeight="1">
      <c r="A35" s="383"/>
      <c r="B35" s="428"/>
      <c r="C35" s="383"/>
      <c r="D35" s="368" t="str">
        <f>D32&amp;".3"</f>
        <v>5.3</v>
      </c>
      <c r="E35" s="370" t="str">
        <f>"отчество"&amp;IF(TEMPLATE_SPHERE&lt;&gt;"HEAT"," руководителя","")</f>
        <v>отчество руководителя</v>
      </c>
      <c r="F35" s="614"/>
      <c r="G35" s="372" t="str">
        <f>"Указывается отчество руководителя"&amp;IF(TEMPLATE_SPHERE&lt;&gt;"TKO"," регулируемой организации"&amp;IF(TEMPLATE_SPHERE="HEAT",", ЕТО, ТО","")," организации")&amp;" в соответствии с паспортными данными физического лица (при наличии)."</f>
        <v>Указывается отчество руководителя регулируемой организации в соответствии с паспортными данными физического лица (при наличии).</v>
      </c>
      <c r="H35" s="401"/>
    </row>
    <row r="36" spans="1:8" ht="33.75" customHeight="1">
      <c r="A36" s="383"/>
      <c r="B36" s="428"/>
      <c r="C36" s="383"/>
      <c r="D36" s="368">
        <f>D32+1</f>
        <v>6</v>
      </c>
      <c r="E36" s="366" t="str">
        <f>"Почтовый адрес органов управления"&amp;IF(TEMPLATE_SPHERE&lt;&gt;"TKO"," регулируемой","")&amp;" организации"&amp;IF(TEMPLATE_SPHERE="HEAT",", ЕТО, ТО","")</f>
        <v>Почтовый адрес органов управления регулируемой организации</v>
      </c>
      <c r="F36" s="369"/>
      <c r="G36" s="372" t="s">
        <v>331</v>
      </c>
      <c r="H36" s="401"/>
    </row>
    <row r="37" spans="1:8" ht="33.75" customHeight="1">
      <c r="A37" s="383"/>
      <c r="B37" s="428"/>
      <c r="C37" s="383"/>
      <c r="D37" s="368">
        <f>D36+1</f>
        <v>7</v>
      </c>
      <c r="E37" s="366" t="str">
        <f>"Адрес места нахождения органов управления"&amp;IF(TEMPLATE_SPHERE&lt;&gt;"TKO"," регулируемой","")&amp;" организации"&amp;IF(TEMPLATE_SPHERE="HEAT",", ЕТО, ТО","")</f>
        <v>Адрес места нахождения органов управления регулируемой организации</v>
      </c>
      <c r="F37" s="369"/>
      <c r="G37" s="372" t="s">
        <v>331</v>
      </c>
      <c r="H37" s="401"/>
    </row>
    <row r="38" spans="1:8" ht="22.5" customHeight="1">
      <c r="A38" s="383"/>
      <c r="B38" s="428"/>
      <c r="C38" s="383"/>
      <c r="D38" s="368">
        <f>D37+1</f>
        <v>8</v>
      </c>
      <c r="E38" s="365" t="str">
        <f>"Контактные телефоны "&amp;IF(TEMPLATE_SPHERE="TKO","","регулируемой ")&amp;"организации"&amp;IF(TEMPLATE_SPHERE="HEAT",", ЕТО, ТО",IF(TEMPLATE_SPHERE="TKO"," (индивидуального предпринимателя)",""))</f>
        <v>Контактные телефоны регулируемой организации</v>
      </c>
      <c r="F38" s="371" t="s">
        <v>297</v>
      </c>
      <c r="G38" s="1962" t="str">
        <f>"Указывается номер контактного телефона"&amp;IF(TEMPLATE_SPHERE&lt;&gt;"TKO"," регулируемой","")&amp;" организации.
В случае наличия нескольких номеров телефонов, информация по каждому из них указывается в отдельной строке."</f>
        <v>Указывается номер контактного телефона регулируемой организации.
В случае наличия нескольких номеров телефонов, информация по каждому из них указывается в отдельной строке.</v>
      </c>
      <c r="H38" s="401"/>
    </row>
    <row r="39" spans="1:8" ht="22.5" hidden="1" customHeight="1">
      <c r="A39" s="383"/>
      <c r="B39" s="428"/>
      <c r="C39" s="383"/>
      <c r="D39" s="368" t="str">
        <f>D38&amp;".0"</f>
        <v>8.0</v>
      </c>
      <c r="E39" s="1526"/>
      <c r="F39" s="794"/>
      <c r="G39" s="1963"/>
      <c r="H39" s="401"/>
    </row>
    <row r="40" spans="1:8" ht="22.5" customHeight="1">
      <c r="A40" s="383"/>
      <c r="B40" s="383"/>
      <c r="C40" s="1605"/>
      <c r="D40" s="368" t="str">
        <f>D38&amp;".1"</f>
        <v>8.1</v>
      </c>
      <c r="E40" s="773"/>
      <c r="F40" s="774"/>
      <c r="G40" s="1963"/>
      <c r="H40" s="401"/>
    </row>
    <row r="41" spans="1:8" ht="15" customHeight="1">
      <c r="A41" s="383"/>
      <c r="B41" s="428"/>
      <c r="C41" s="383"/>
      <c r="D41" s="393"/>
      <c r="E41" s="345" t="s">
        <v>332</v>
      </c>
      <c r="F41" s="395"/>
      <c r="G41" s="1964"/>
      <c r="H41" s="402"/>
    </row>
    <row r="42" spans="1:8" ht="25.5" customHeight="1">
      <c r="A42" s="383"/>
      <c r="B42" s="428"/>
      <c r="C42" s="383"/>
      <c r="D42" s="368">
        <f>D38+1</f>
        <v>9</v>
      </c>
      <c r="E42" s="366" t="str">
        <f>IF(TEMPLATE_SPHERE="TKO","Адрес официального сайта организации в сети «Интернет»","Официальный сайт регулируемой организации"&amp;IF(TEMPLATE_SPHERE="HEAT",", ЕТО, ТО","")&amp;" в сети «Интернет»")</f>
        <v>Официальный сайт регулируемой организации в сети «Интернет»</v>
      </c>
      <c r="F42" s="775"/>
      <c r="G42" s="372" t="str">
        <f>"Указывается адрес официального сайта"&amp;IF(TEMPLATE_SPHERE&lt;&gt;"TKO"," регулируемой","")&amp;" организации"&amp;" в сети «Интернет». В случае отсутствия официального сайта"&amp;IF(TEMPLATE_SPHERE&lt;&gt;"TKO"," регулируемой","")&amp;" организации в сети «Интернет» указывается «Отсутствует»."</f>
        <v>Указывается адрес официального сайта регулируемой организации в сети «Интернет». В случае отсутствия официального сайта регулируемой организации в сети «Интернет» указывается «Отсутствует».</v>
      </c>
      <c r="H42" s="401"/>
    </row>
    <row r="43" spans="1:8" ht="22.5" customHeight="1">
      <c r="A43" s="383"/>
      <c r="B43" s="428"/>
      <c r="C43" s="383"/>
      <c r="D43" s="368">
        <f>D42+1</f>
        <v>10</v>
      </c>
      <c r="E43" s="366" t="str">
        <f>"Адрес электронной почты "&amp;IF(TEMPLATE_SPHERE="TKO","","регулируемой ")&amp;"организации"&amp;IF(TEMPLATE_SPHERE="HEAT",", ЕТО, ТО",IF(TEMPLATE_SPHERE="TKO"," (индивидуального предпринимателя)",""))</f>
        <v>Адрес электронной почты регулируемой организации</v>
      </c>
      <c r="F43" s="304"/>
      <c r="G43" s="400" t="s">
        <v>333</v>
      </c>
      <c r="H43" s="401"/>
    </row>
    <row r="44" spans="1:8" ht="22.5" customHeight="1">
      <c r="A44" s="383"/>
      <c r="B44" s="428"/>
      <c r="C44" s="383"/>
      <c r="D44" s="368">
        <f>D43+1</f>
        <v>11</v>
      </c>
      <c r="E44" s="366" t="s">
        <v>334</v>
      </c>
      <c r="F44" s="371" t="s">
        <v>297</v>
      </c>
      <c r="G44" s="365" t="str">
        <f>IF(TEMPLATE_SPHERE="TKO","Указывается режим работы организации.","")</f>
        <v/>
      </c>
      <c r="H44" s="401"/>
    </row>
    <row r="45" spans="1:8" ht="22.5" customHeight="1">
      <c r="A45" s="383"/>
      <c r="B45" s="428"/>
      <c r="C45" s="383"/>
      <c r="D45" s="368" t="str">
        <f>D44&amp;".1"</f>
        <v>11.1</v>
      </c>
      <c r="E45" s="370" t="str">
        <f>"режим работы регулируемой организации"&amp;IF(TEMPLATE_SPHERE="HEAT",", ЕТО, ТО","")</f>
        <v>режим работы регулируемой организации</v>
      </c>
      <c r="F45" s="1601"/>
      <c r="G45" s="365" t="s">
        <v>335</v>
      </c>
      <c r="H45" s="401"/>
    </row>
    <row r="46" spans="1:8" ht="22.5" customHeight="1">
      <c r="A46" s="1951"/>
      <c r="B46" s="428"/>
      <c r="C46" s="418"/>
      <c r="D46" s="368" t="str">
        <f>D44&amp;".2"</f>
        <v>11.2</v>
      </c>
      <c r="E46" s="370" t="s">
        <v>336</v>
      </c>
      <c r="F46" s="416"/>
      <c r="G46" s="365" t="s">
        <v>337</v>
      </c>
      <c r="H46" s="401"/>
    </row>
    <row r="47" spans="1:8" ht="22.5" customHeight="1">
      <c r="A47" s="1951"/>
      <c r="B47" s="428"/>
      <c r="C47" s="418"/>
      <c r="D47" s="368" t="str">
        <f>D44&amp;".3"</f>
        <v>11.3</v>
      </c>
      <c r="E47" s="370" t="s">
        <v>338</v>
      </c>
      <c r="F47" s="416"/>
      <c r="G47" s="365" t="s">
        <v>339</v>
      </c>
      <c r="H47" s="401"/>
    </row>
    <row r="48" spans="1:8" ht="22.5" customHeight="1">
      <c r="A48" s="1951"/>
      <c r="B48" s="428"/>
      <c r="C48" s="418"/>
      <c r="D48" s="368" t="str">
        <f>IF(TEMPLATE_SPHERE="TKO",D44&amp;".0",D44&amp;".4")</f>
        <v>11.4</v>
      </c>
      <c r="E48" s="364" t="s">
        <v>340</v>
      </c>
      <c r="F48" s="1602"/>
      <c r="G48" s="1678" t="s">
        <v>341</v>
      </c>
      <c r="H48" s="401"/>
    </row>
    <row r="49" spans="1:9" ht="22.5" customHeight="1">
      <c r="A49" s="383"/>
      <c r="B49" s="428"/>
      <c r="C49" s="383"/>
      <c r="D49" s="393"/>
      <c r="E49" s="345" t="s">
        <v>342</v>
      </c>
      <c r="F49" s="394"/>
      <c r="G49" s="1678" t="s">
        <v>343</v>
      </c>
      <c r="H49" s="402"/>
    </row>
    <row r="50" spans="1:9" ht="22.5" customHeight="1">
      <c r="A50" s="771"/>
      <c r="B50" s="428"/>
      <c r="C50" s="418"/>
      <c r="D50" s="368">
        <f>D44+1</f>
        <v>12</v>
      </c>
      <c r="E50" s="454" t="s">
        <v>344</v>
      </c>
      <c r="F50" s="416"/>
      <c r="G50" s="1606" t="str">
        <f>"Указывается наличие «да» или отсутствие «нет» утвержденной в установленном порядке инвестиционной программы"&amp;IF(TEMPLATE_SPHERE="HEAT","В соответствии с пунктом 1(1) Правил согласования и утверждения инвестиционных программ организаций, осуществляющих регулируемые виды деятельности в сфере теплоснабжения, "&amp;"а также требований к составу и содержанию таких программ (за исключением таких программ, утверждаемых "&amp;"в соответствии с законодательством российской федерации об электроэнергетике), утвержденных постановлением Правительства Российской Федерации от 05.05.2014 № 410, "&amp;"в ценовых зонах теплоснабжения инвестиционная программа в отношении деятельности по подключению (технологическому присоединению) к системе теплоснабжения не разрабатывается и не утверждается.","")</f>
        <v>Указывается наличие «да» или отсутствие «нет» утвержденной в установленном порядке инвестиционной программы</v>
      </c>
      <c r="H50" s="401"/>
    </row>
    <row r="51" spans="1:9" ht="11.25" customHeight="1">
      <c r="A51" s="383"/>
      <c r="B51" s="428"/>
      <c r="C51" s="383"/>
    </row>
    <row r="52" spans="1:9" s="386" customFormat="1" ht="30" customHeight="1">
      <c r="A52" s="1604"/>
      <c r="B52" s="429"/>
      <c r="C52" s="1952"/>
      <c r="D52" s="1956" t="str">
        <f>"В случае если регулируемая организация"&amp;IF(TEMPLATE_SPHERE="HEAT",", единая теплоснабжающая организация в ценовых зонах теплоснабжения, теплоснабжающая организация в ценовых зонах теплоснабжения и теплосетевая организация в ценовых зонах теплоснабжения","")&amp;" осуществляет несколько видов деятельности в сфере "&amp;TEMPLATE_SPHERE_RUS&amp;", информация о которых подлежит раскрытию в соответствии со Стандартами раскрытия информации в сфере "&amp;IF(TEMPLATE_SPHERE="HEAT","теплоснабжения","водоснабжения и водоотведения")&amp;", утвержденными постановлением Правительства Российской Федерации от 26.01.2023 № "&amp;IF(TEMPLATE_SPHERE="HEAT","110",IF(TEMPLATE_SPHERE="TKO","109 ""Об утверждении стандартов раскрытия информации в области обращения с твердыми коммунальными отходами""","108"))&amp;", информация по каждому виду деятельности раскрывается отдельно."</f>
        <v>В случае если регулируемая организация осуществляет несколько видов деятельности в сфере холодного водоснабжения, информация о которых подлежит раскрытию в соответствии со Стандартами раскрытия информации в сфере водоснабжения и водоотведения, утвержденными постановлением Правительства Российской Федерации от 26.01.2023 № 108, информация по каждому виду деятельности раскрывается отдельно.</v>
      </c>
      <c r="E52" s="1956"/>
      <c r="F52" s="1956"/>
      <c r="G52" s="1956"/>
      <c r="H52" s="380"/>
      <c r="I52" s="380"/>
    </row>
    <row r="53" spans="1:9" s="386" customFormat="1" ht="39.75" customHeight="1">
      <c r="A53" s="383"/>
      <c r="B53" s="428"/>
      <c r="C53" s="1952"/>
      <c r="D53" s="1956" t="str">
        <f>IF(ORG_INFO_P_NOTE_MAIN=0,"",ORG_INFO_P_NOTE_MAIN)</f>
        <v>В случае если регулируемыми организациями оказываются услуги по холодному водоснабжению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c r="E53" s="1956"/>
      <c r="F53" s="1956"/>
      <c r="G53" s="1956"/>
    </row>
    <row r="54" spans="1:9" ht="11.25" customHeight="1">
      <c r="D54" s="384"/>
      <c r="E54" s="385"/>
      <c r="F54" s="385"/>
      <c r="G54" s="385"/>
    </row>
    <row r="55" spans="1:9" ht="27" customHeight="1">
      <c r="D55" s="387"/>
      <c r="E55" s="384"/>
      <c r="F55" s="396"/>
      <c r="G55" s="396"/>
    </row>
    <row r="56" spans="1:9" ht="11.25" customHeight="1">
      <c r="D56" s="384"/>
      <c r="E56" s="384"/>
      <c r="F56" s="385"/>
      <c r="G56" s="385"/>
    </row>
    <row r="57" spans="1:9" ht="39" customHeight="1">
      <c r="D57" s="388"/>
      <c r="E57" s="397"/>
      <c r="F57" s="397"/>
      <c r="G57" s="397"/>
    </row>
    <row r="58" spans="1:9" ht="27" customHeight="1">
      <c r="D58" s="388"/>
      <c r="E58" s="397"/>
      <c r="F58" s="397"/>
      <c r="G58" s="397"/>
    </row>
  </sheetData>
  <sheetProtection formatColumns="0" formatRows="0" insertRows="0" deleteColumns="0" deleteRows="0" sort="0" autoFilter="0"/>
  <mergeCells count="12">
    <mergeCell ref="D4:F4"/>
    <mergeCell ref="A46:A48"/>
    <mergeCell ref="C52:C53"/>
    <mergeCell ref="D8:F8"/>
    <mergeCell ref="A19:A23"/>
    <mergeCell ref="D52:G52"/>
    <mergeCell ref="D53:G53"/>
    <mergeCell ref="E7:F7"/>
    <mergeCell ref="G8:G9"/>
    <mergeCell ref="C19:C23"/>
    <mergeCell ref="D5:F5"/>
    <mergeCell ref="G38:G41"/>
  </mergeCells>
  <dataValidations count="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F21 F17"/>
    <dataValidation type="textLength" operator="lessThanOrEqual" allowBlank="1" showInputMessage="1" showErrorMessage="1" errorTitle="Ошибка" error="Допускается ввод не более 900 символов!" sqref="F13 F42:F43 F26:F31 F16 F22:F23 F18 F20 F33:F37 E39:F40">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F50 F45:F48">
      <formula1>"a"</formula1>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59999389629810485"/>
  </sheetPr>
  <dimension ref="A1:AS17"/>
  <sheetViews>
    <sheetView showGridLines="0" topLeftCell="C3" zoomScale="90" workbookViewId="0"/>
  </sheetViews>
  <sheetFormatPr defaultColWidth="10.5703125" defaultRowHeight="14.25" customHeight="1"/>
  <cols>
    <col min="1" max="1" width="9.140625" style="1549" hidden="1" customWidth="1"/>
    <col min="2" max="2" width="9.140625" style="1552" hidden="1" customWidth="1"/>
    <col min="3" max="3" width="3.7109375" style="1762" customWidth="1"/>
    <col min="4" max="4" width="5.5703125" style="1552" customWidth="1"/>
    <col min="5" max="5" width="48.42578125" style="1552" customWidth="1"/>
    <col min="6" max="6" width="38.140625" style="1552" customWidth="1"/>
    <col min="7" max="7" width="1.7109375" style="1552" hidden="1" customWidth="1"/>
    <col min="8" max="11" width="19.85546875" style="1552" hidden="1" customWidth="1"/>
    <col min="12" max="12" width="9.7109375" style="1552" hidden="1" customWidth="1"/>
    <col min="13" max="18" width="19.85546875" style="1552" hidden="1" customWidth="1"/>
    <col min="19" max="19" width="1.7109375" style="1552" hidden="1" customWidth="1"/>
    <col min="20" max="22" width="19.85546875" style="1552" hidden="1" customWidth="1"/>
    <col min="23" max="23" width="1.7109375" style="1552" hidden="1" customWidth="1"/>
    <col min="24" max="26" width="19.85546875" style="1552" customWidth="1"/>
    <col min="27" max="27" width="1.7109375" style="1552" hidden="1" customWidth="1"/>
    <col min="28" max="29" width="19.85546875" style="1552" hidden="1" customWidth="1"/>
    <col min="30" max="30" width="1.7109375" style="1552" hidden="1" customWidth="1"/>
    <col min="31" max="32" width="103.7109375" style="1552" hidden="1" customWidth="1"/>
    <col min="33" max="33" width="103.7109375" style="1552" customWidth="1"/>
    <col min="34" max="34" width="103.7109375" style="1552" hidden="1" customWidth="1"/>
    <col min="35" max="35" width="3.7109375" style="1740" customWidth="1"/>
    <col min="36" max="38" width="10.5703125" style="1559"/>
    <col min="39" max="39" width="13.7109375" style="1559" hidden="1" customWidth="1"/>
    <col min="40" max="40" width="15.42578125" style="1559" customWidth="1"/>
    <col min="41" max="41" width="16.28515625" style="1559" customWidth="1"/>
    <col min="42" max="45" width="10.5703125" style="1559"/>
  </cols>
  <sheetData>
    <row r="1" spans="1:45" ht="14.25" hidden="1" customHeight="1">
      <c r="E1" s="342"/>
      <c r="F1" s="342"/>
      <c r="G1" s="342"/>
      <c r="H1" s="1977" t="s">
        <v>345</v>
      </c>
      <c r="I1" s="1977"/>
      <c r="J1" s="1977"/>
      <c r="K1" s="1977"/>
      <c r="L1" s="1977"/>
      <c r="M1" s="1977"/>
      <c r="N1" s="1977"/>
      <c r="O1" s="1977"/>
      <c r="P1" s="1977"/>
      <c r="Q1" s="1977"/>
      <c r="R1" s="1977"/>
      <c r="T1" s="1977" t="s">
        <v>346</v>
      </c>
      <c r="U1" s="1977"/>
      <c r="V1" s="1977"/>
      <c r="X1" s="1977" t="s">
        <v>347</v>
      </c>
      <c r="Y1" s="1977"/>
      <c r="Z1" s="1977"/>
      <c r="AB1" s="1977" t="s">
        <v>348</v>
      </c>
      <c r="AC1" s="1977"/>
    </row>
    <row r="2" spans="1:45" ht="14.25" hidden="1" customHeight="1"/>
    <row r="3" spans="1:45" s="1531" customFormat="1" ht="6" customHeight="1">
      <c r="C3" s="616"/>
      <c r="D3" s="617"/>
      <c r="E3" s="617"/>
      <c r="F3" s="617"/>
      <c r="G3" s="617"/>
      <c r="H3" s="617" t="s">
        <v>349</v>
      </c>
      <c r="I3" s="617"/>
      <c r="J3" s="617"/>
      <c r="K3" s="617"/>
      <c r="L3" s="617"/>
      <c r="M3" s="617"/>
      <c r="N3" s="617"/>
      <c r="O3" s="617"/>
      <c r="P3" s="617"/>
      <c r="Q3" s="617"/>
      <c r="R3" s="617"/>
      <c r="S3" s="617"/>
      <c r="T3" s="617"/>
      <c r="U3" s="617"/>
      <c r="V3" s="617"/>
      <c r="W3" s="617"/>
      <c r="X3" s="617"/>
      <c r="Y3" s="617"/>
      <c r="Z3" s="617"/>
      <c r="AA3" s="617"/>
      <c r="AB3" s="617"/>
      <c r="AC3" s="617"/>
      <c r="AD3" s="617"/>
      <c r="AE3" s="617"/>
      <c r="AF3" s="617"/>
      <c r="AG3" s="617"/>
      <c r="AH3" s="617"/>
      <c r="AJ3" s="437"/>
      <c r="AK3" s="437"/>
      <c r="AL3" s="437"/>
      <c r="AM3" s="437"/>
      <c r="AN3" s="437"/>
      <c r="AO3" s="437"/>
      <c r="AP3" s="437"/>
      <c r="AQ3" s="437"/>
      <c r="AR3" s="437"/>
      <c r="AS3" s="437"/>
    </row>
    <row r="4" spans="1:45" ht="24" customHeight="1">
      <c r="C4" s="377"/>
      <c r="D4" s="1867" t="str">
        <f>"Форма 2. Общая информация об объектах "&amp;TEMPLATE_SPHERE_RUS&amp;" регулируемой организации"&amp;IF(TEMPLATE_SPHERE="HEAT",", единых теплоснабжающих организациях в ценовых зонах теплоснабжения, теплоснабжающих организациях в ценовых зонах теплоснабжения и теплосетевых организациях в ценовых зонах теплоснабжения","")</f>
        <v>Форма 2. Общая информация об объектах холодного водоснабжения регулируемой организации</v>
      </c>
      <c r="E4" s="1868"/>
      <c r="F4" s="1868"/>
      <c r="G4" s="1868"/>
      <c r="H4" s="1868"/>
      <c r="I4" s="1868"/>
      <c r="J4" s="1868"/>
      <c r="K4" s="1868"/>
      <c r="L4" s="1868"/>
      <c r="M4" s="1868"/>
      <c r="N4" s="1868"/>
      <c r="O4" s="1868"/>
      <c r="P4" s="1868"/>
      <c r="Q4" s="1868"/>
      <c r="R4" s="1869"/>
      <c r="S4" s="766"/>
      <c r="T4" s="615"/>
      <c r="U4" s="615"/>
      <c r="V4" s="615"/>
      <c r="W4" s="615"/>
      <c r="X4" s="615"/>
      <c r="Y4" s="615"/>
      <c r="Z4" s="615"/>
      <c r="AA4" s="615"/>
      <c r="AB4" s="615"/>
      <c r="AC4" s="615"/>
      <c r="AD4" s="615"/>
      <c r="AE4" s="417"/>
      <c r="AF4" s="417"/>
      <c r="AG4" s="417"/>
      <c r="AH4" s="417"/>
      <c r="AI4" s="414"/>
    </row>
    <row r="5" spans="1:45" s="1552" customFormat="1" ht="17.25" customHeight="1">
      <c r="A5" s="673"/>
      <c r="C5" s="735"/>
      <c r="D5" s="1974" t="str">
        <f>IF(org=0,"Не определено",org)</f>
        <v>АО СЗ "КМАпроектжилстрой"</v>
      </c>
      <c r="E5" s="1975"/>
      <c r="F5" s="1975"/>
      <c r="G5" s="1975"/>
      <c r="H5" s="1975"/>
      <c r="I5" s="1975"/>
      <c r="J5" s="1975"/>
      <c r="K5" s="1975"/>
      <c r="L5" s="1975"/>
      <c r="M5" s="1975"/>
      <c r="N5" s="1975"/>
      <c r="O5" s="1975"/>
      <c r="P5" s="1975"/>
      <c r="Q5" s="1975"/>
      <c r="R5" s="1976"/>
      <c r="S5" s="766"/>
      <c r="T5" s="615"/>
      <c r="U5" s="615"/>
      <c r="V5" s="615"/>
      <c r="W5" s="615"/>
      <c r="X5" s="615"/>
      <c r="Y5" s="615"/>
      <c r="Z5" s="615"/>
      <c r="AA5" s="615"/>
      <c r="AB5" s="615"/>
      <c r="AC5" s="615"/>
      <c r="AD5" s="615"/>
      <c r="AE5" s="417"/>
      <c r="AF5" s="417"/>
      <c r="AG5" s="417"/>
      <c r="AH5" s="417"/>
      <c r="AI5" s="414"/>
      <c r="AJ5" s="437"/>
      <c r="AK5" s="437"/>
      <c r="AL5" s="437"/>
      <c r="AM5" s="437"/>
      <c r="AN5" s="437"/>
      <c r="AO5" s="437"/>
      <c r="AP5" s="437"/>
      <c r="AQ5" s="437"/>
      <c r="AR5" s="437"/>
      <c r="AS5" s="437"/>
    </row>
    <row r="6" spans="1:45" s="1530" customFormat="1" ht="11.25" customHeight="1">
      <c r="A6" s="405"/>
      <c r="C6" s="412"/>
      <c r="D6" s="411"/>
      <c r="E6" s="411"/>
      <c r="F6" s="411"/>
      <c r="G6" s="411"/>
      <c r="H6" s="411"/>
      <c r="I6" s="411"/>
      <c r="J6" s="411"/>
      <c r="K6" s="411"/>
      <c r="L6" s="411"/>
      <c r="M6" s="411"/>
      <c r="N6" s="411"/>
      <c r="O6" s="411"/>
      <c r="P6" s="411"/>
      <c r="Q6" s="411"/>
      <c r="R6" s="666"/>
      <c r="S6" s="666"/>
      <c r="T6" s="411"/>
      <c r="U6" s="411"/>
      <c r="V6" s="627"/>
      <c r="W6" s="627"/>
      <c r="X6" s="411"/>
      <c r="Y6" s="411"/>
      <c r="Z6" s="627"/>
      <c r="AA6" s="627"/>
      <c r="AB6" s="411"/>
      <c r="AC6" s="627"/>
      <c r="AD6" s="627"/>
      <c r="AE6" s="411"/>
      <c r="AF6" s="411"/>
      <c r="AG6" s="411"/>
      <c r="AH6" s="411"/>
      <c r="AJ6" s="415"/>
      <c r="AK6" s="415"/>
      <c r="AL6" s="415"/>
      <c r="AM6" s="415"/>
      <c r="AN6" s="415"/>
      <c r="AO6" s="415"/>
      <c r="AP6" s="415"/>
      <c r="AQ6" s="415"/>
      <c r="AR6" s="415"/>
      <c r="AS6" s="415"/>
    </row>
    <row r="7" spans="1:45" ht="14.25" customHeight="1">
      <c r="C7" s="377"/>
      <c r="D7" s="1965" t="s">
        <v>291</v>
      </c>
      <c r="E7" s="1978"/>
      <c r="F7" s="1978"/>
      <c r="G7" s="1978"/>
      <c r="H7" s="1978"/>
      <c r="I7" s="1978"/>
      <c r="J7" s="1978"/>
      <c r="K7" s="1978"/>
      <c r="L7" s="1978"/>
      <c r="M7" s="1978"/>
      <c r="N7" s="1978"/>
      <c r="O7" s="1978"/>
      <c r="P7" s="1978"/>
      <c r="Q7" s="1978"/>
      <c r="R7" s="1978"/>
      <c r="S7" s="1978"/>
      <c r="T7" s="1978"/>
      <c r="U7" s="1978"/>
      <c r="V7" s="1978"/>
      <c r="W7" s="1978"/>
      <c r="X7" s="1978"/>
      <c r="Y7" s="1978"/>
      <c r="Z7" s="1978"/>
      <c r="AA7" s="1978"/>
      <c r="AB7" s="1978"/>
      <c r="AC7" s="1978"/>
      <c r="AD7" s="1979"/>
      <c r="AE7" s="1926" t="s">
        <v>292</v>
      </c>
      <c r="AF7" s="1926" t="s">
        <v>292</v>
      </c>
      <c r="AG7" s="1926" t="s">
        <v>292</v>
      </c>
      <c r="AH7" s="1926" t="s">
        <v>292</v>
      </c>
    </row>
    <row r="8" spans="1:45" ht="25.5" customHeight="1">
      <c r="C8" s="377"/>
      <c r="D8" s="1874" t="s">
        <v>88</v>
      </c>
      <c r="E8" s="1926" t="str">
        <f>"Наименование "&amp;IF(TEMPLATE_SPHERE&lt;&gt;"HEAT","централизованной ","")&amp;"системы "&amp;TEMPLATE_SPHERE_RUS</f>
        <v>Наименование централизованной системы холодного водоснабжения</v>
      </c>
      <c r="F8" s="1926" t="str">
        <f>IF(TEMPLATE_SPHERE&lt;&gt;"HEAT","Регулируемый вид деятельности","Вид регулируемой деятельности")</f>
        <v>Регулируемый вид деятельности</v>
      </c>
      <c r="G8" s="741"/>
      <c r="H8" s="1966" t="s">
        <v>350</v>
      </c>
      <c r="I8" s="1970" t="s">
        <v>351</v>
      </c>
      <c r="J8" s="1926" t="s">
        <v>352</v>
      </c>
      <c r="K8" s="1926"/>
      <c r="L8" s="1926"/>
      <c r="M8" s="1965"/>
      <c r="N8" s="1926" t="s">
        <v>353</v>
      </c>
      <c r="O8" s="1926"/>
      <c r="P8" s="1926" t="s">
        <v>354</v>
      </c>
      <c r="Q8" s="1926"/>
      <c r="R8" s="1968" t="s">
        <v>355</v>
      </c>
      <c r="S8" s="737"/>
      <c r="T8" s="1966" t="s">
        <v>356</v>
      </c>
      <c r="U8" s="1966" t="s">
        <v>357</v>
      </c>
      <c r="V8" s="1966" t="s">
        <v>358</v>
      </c>
      <c r="W8" s="739"/>
      <c r="X8" s="1966" t="s">
        <v>359</v>
      </c>
      <c r="Y8" s="1966" t="s">
        <v>360</v>
      </c>
      <c r="Z8" s="1966" t="s">
        <v>361</v>
      </c>
      <c r="AA8" s="739"/>
      <c r="AB8" s="1966" t="s">
        <v>362</v>
      </c>
      <c r="AC8" s="1966" t="s">
        <v>355</v>
      </c>
      <c r="AD8" s="739"/>
      <c r="AE8" s="1926"/>
      <c r="AF8" s="1926"/>
      <c r="AG8" s="1926"/>
      <c r="AH8" s="1926"/>
    </row>
    <row r="9" spans="1:45" ht="33.75" customHeight="1">
      <c r="C9" s="377"/>
      <c r="D9" s="1874"/>
      <c r="E9" s="1926"/>
      <c r="F9" s="1926"/>
      <c r="G9" s="742"/>
      <c r="H9" s="1967"/>
      <c r="I9" s="1971"/>
      <c r="J9" s="353" t="s">
        <v>363</v>
      </c>
      <c r="K9" s="353" t="s">
        <v>364</v>
      </c>
      <c r="L9" s="353" t="s">
        <v>365</v>
      </c>
      <c r="M9" s="358" t="s">
        <v>366</v>
      </c>
      <c r="N9" s="353" t="s">
        <v>367</v>
      </c>
      <c r="O9" s="353" t="s">
        <v>366</v>
      </c>
      <c r="P9" s="353" t="s">
        <v>368</v>
      </c>
      <c r="Q9" s="353" t="s">
        <v>366</v>
      </c>
      <c r="R9" s="1969"/>
      <c r="S9" s="738"/>
      <c r="T9" s="1967"/>
      <c r="U9" s="1967"/>
      <c r="V9" s="1967"/>
      <c r="W9" s="740"/>
      <c r="X9" s="1967"/>
      <c r="Y9" s="1967"/>
      <c r="Z9" s="1967"/>
      <c r="AA9" s="740"/>
      <c r="AB9" s="1967"/>
      <c r="AC9" s="1967"/>
      <c r="AD9" s="740"/>
      <c r="AE9" s="1926"/>
      <c r="AF9" s="1926"/>
      <c r="AG9" s="1926"/>
      <c r="AH9" s="1926"/>
    </row>
    <row r="10" spans="1:45" ht="12" hidden="1" customHeight="1">
      <c r="C10" s="413"/>
      <c r="D10" s="376"/>
      <c r="E10" s="376"/>
      <c r="F10" s="376"/>
      <c r="G10" s="376"/>
      <c r="H10" s="376"/>
      <c r="I10" s="376"/>
      <c r="J10" s="376"/>
      <c r="K10" s="376"/>
      <c r="L10" s="376"/>
      <c r="M10" s="376"/>
      <c r="N10" s="376"/>
      <c r="O10" s="376"/>
      <c r="P10" s="376"/>
      <c r="Q10" s="376"/>
      <c r="R10" s="376"/>
      <c r="S10" s="376"/>
      <c r="T10" s="376"/>
      <c r="U10" s="376"/>
      <c r="V10" s="376"/>
      <c r="W10" s="376"/>
      <c r="X10" s="376"/>
      <c r="Y10" s="376"/>
      <c r="Z10" s="376"/>
      <c r="AA10" s="376"/>
      <c r="AB10" s="376"/>
      <c r="AC10" s="376"/>
      <c r="AD10" s="376"/>
      <c r="AE10" s="376"/>
      <c r="AF10" s="376"/>
      <c r="AG10" s="376"/>
      <c r="AH10" s="376"/>
      <c r="AI10" s="375"/>
      <c r="AP10" s="426"/>
      <c r="AQ10" s="426"/>
    </row>
    <row r="11" spans="1:45" s="1558" customFormat="1" ht="11.25" hidden="1" customHeight="1">
      <c r="C11" s="424"/>
      <c r="D11" s="425" t="s">
        <v>369</v>
      </c>
      <c r="E11" s="425"/>
      <c r="F11" s="425"/>
      <c r="G11" s="425"/>
      <c r="H11" s="423"/>
      <c r="I11" s="423"/>
      <c r="J11" s="423"/>
      <c r="K11" s="423"/>
      <c r="L11" s="423"/>
      <c r="M11" s="423"/>
      <c r="N11" s="423"/>
      <c r="O11" s="423"/>
      <c r="P11" s="423"/>
      <c r="Q11" s="423"/>
      <c r="R11" s="423"/>
      <c r="S11" s="423"/>
      <c r="T11" s="423"/>
      <c r="U11" s="423"/>
      <c r="V11" s="423"/>
      <c r="W11" s="423"/>
      <c r="X11" s="423"/>
      <c r="Y11" s="423"/>
      <c r="Z11" s="423"/>
      <c r="AA11" s="423"/>
      <c r="AB11" s="423"/>
      <c r="AC11" s="423"/>
      <c r="AD11" s="423"/>
      <c r="AE11" s="363"/>
      <c r="AF11" s="363"/>
      <c r="AG11" s="363"/>
      <c r="AH11" s="363"/>
      <c r="AJ11" s="415"/>
      <c r="AK11" s="415"/>
      <c r="AL11" s="415"/>
      <c r="AM11" s="415"/>
      <c r="AN11" s="415"/>
      <c r="AO11" s="415"/>
      <c r="AP11" s="415"/>
      <c r="AQ11" s="415"/>
      <c r="AR11" s="415"/>
      <c r="AS11" s="415"/>
    </row>
    <row r="12" spans="1:45" ht="14.25" customHeight="1">
      <c r="A12" s="375"/>
      <c r="C12" s="377"/>
      <c r="D12" s="362" t="s">
        <v>109</v>
      </c>
      <c r="E12" s="1697" t="s">
        <v>18</v>
      </c>
      <c r="F12" s="768"/>
      <c r="G12" s="769"/>
      <c r="H12" s="1698"/>
      <c r="I12" s="1698"/>
      <c r="J12" s="361"/>
      <c r="K12" s="360"/>
      <c r="L12" s="359"/>
      <c r="M12" s="360"/>
      <c r="N12" s="361"/>
      <c r="O12" s="360"/>
      <c r="P12" s="361"/>
      <c r="Q12" s="360"/>
      <c r="R12" s="361"/>
      <c r="S12" s="767"/>
      <c r="T12" s="1698"/>
      <c r="U12" s="361"/>
      <c r="V12" s="361"/>
      <c r="W12" s="740"/>
      <c r="X12" s="1698"/>
      <c r="Y12" s="361"/>
      <c r="Z12" s="361"/>
      <c r="AA12" s="740"/>
      <c r="AB12" s="1698"/>
      <c r="AC12" s="361"/>
      <c r="AD12" s="740"/>
      <c r="AE12" s="1972" t="s">
        <v>370</v>
      </c>
      <c r="AF12" s="1972" t="s">
        <v>371</v>
      </c>
      <c r="AG12" s="1972" t="s">
        <v>372</v>
      </c>
      <c r="AH12" s="1972" t="s">
        <v>373</v>
      </c>
      <c r="AI12" s="375"/>
      <c r="AM12" s="437"/>
      <c r="AP12" s="426" t="s">
        <v>374</v>
      </c>
      <c r="AQ12" s="426" t="s">
        <v>374</v>
      </c>
    </row>
    <row r="13" spans="1:45" ht="17.25" customHeight="1">
      <c r="A13" s="375"/>
      <c r="C13" s="377"/>
      <c r="D13" s="335"/>
      <c r="E13" s="782" t="str">
        <f>IF(TITLE_DIFFERENTIATION_TYPE="нет","","Добавить систему")</f>
        <v/>
      </c>
      <c r="F13" s="782" t="str">
        <f>IF(TITLE_DIFFERENTIATION_TYPE="нет","Добавить вид деятельности","")</f>
        <v>Добавить вид деятельности</v>
      </c>
      <c r="G13" s="229"/>
      <c r="H13" s="336"/>
      <c r="I13" s="336"/>
      <c r="J13" s="336"/>
      <c r="K13" s="336"/>
      <c r="L13" s="336"/>
      <c r="M13" s="336"/>
      <c r="N13" s="336"/>
      <c r="O13" s="336"/>
      <c r="P13" s="336"/>
      <c r="Q13" s="336"/>
      <c r="R13" s="336"/>
      <c r="S13" s="336"/>
      <c r="T13" s="336"/>
      <c r="U13" s="336"/>
      <c r="V13" s="336"/>
      <c r="W13" s="336"/>
      <c r="X13" s="336"/>
      <c r="Y13" s="336"/>
      <c r="Z13" s="336"/>
      <c r="AA13" s="336"/>
      <c r="AB13" s="336"/>
      <c r="AC13" s="336"/>
      <c r="AD13" s="770"/>
      <c r="AE13" s="1973"/>
      <c r="AF13" s="1973"/>
      <c r="AG13" s="1973"/>
      <c r="AH13" s="1973"/>
      <c r="AI13" s="375"/>
    </row>
    <row r="14" spans="1:45" ht="14.25" customHeight="1">
      <c r="AI14" s="375"/>
    </row>
    <row r="15" spans="1:45" ht="14.25" customHeight="1">
      <c r="E15" s="672"/>
      <c r="L15" s="672"/>
    </row>
    <row r="16" spans="1:45" ht="14.25" customHeight="1">
      <c r="L16" s="672"/>
    </row>
    <row r="17" spans="12:12" ht="14.25" customHeight="1">
      <c r="L17" s="672"/>
    </row>
  </sheetData>
  <sheetProtection formatColumns="0" formatRows="0" insertRows="0" deleteColumns="0" deleteRows="0" sort="0" autoFilter="0"/>
  <mergeCells count="32">
    <mergeCell ref="D5:R5"/>
    <mergeCell ref="H1:R1"/>
    <mergeCell ref="D7:AD7"/>
    <mergeCell ref="X1:Z1"/>
    <mergeCell ref="T1:V1"/>
    <mergeCell ref="AB1:AC1"/>
    <mergeCell ref="D4:R4"/>
    <mergeCell ref="AE12:AE13"/>
    <mergeCell ref="AG7:AG9"/>
    <mergeCell ref="AG12:AG13"/>
    <mergeCell ref="AH7:AH9"/>
    <mergeCell ref="AH12:AH13"/>
    <mergeCell ref="AF12:AF13"/>
    <mergeCell ref="AF7:AF9"/>
    <mergeCell ref="AE7:AE9"/>
    <mergeCell ref="D8:D9"/>
    <mergeCell ref="E8:E9"/>
    <mergeCell ref="F8:F9"/>
    <mergeCell ref="H8:H9"/>
    <mergeCell ref="I8:I9"/>
    <mergeCell ref="J8:M8"/>
    <mergeCell ref="N8:O8"/>
    <mergeCell ref="AB8:AB9"/>
    <mergeCell ref="AC8:AC9"/>
    <mergeCell ref="T8:T9"/>
    <mergeCell ref="U8:U9"/>
    <mergeCell ref="V8:V9"/>
    <mergeCell ref="P8:Q8"/>
    <mergeCell ref="R8:R9"/>
    <mergeCell ref="X8:X9"/>
    <mergeCell ref="Y8:Y9"/>
    <mergeCell ref="Z8:Z9"/>
  </mergeCells>
  <dataValidations count="6">
    <dataValidation type="list" allowBlank="1" showInputMessage="1" showErrorMessage="1" errorTitle="Ошибка" error="Выберите значение из списка" prompt="Выберите значение из списка" sqref="L12">
      <formula1>kind_of_power_te_unit</formula1>
    </dataValidation>
    <dataValidation type="whole" allowBlank="1" showErrorMessage="1" errorTitle="Ошибка" error="Допускается ввод только неотрицательных целых чисел!" sqref="N12 P12 U12:V12 Y12:Z12 J12 R12:S12 AC12">
      <formula1>0</formula1>
      <formula2>9.99999999999999E+23</formula2>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F12"/>
    <dataValidation type="textLength" operator="lessThanOrEqual" allowBlank="1" showInputMessage="1" showErrorMessage="1" errorTitle="Ошибка" error="Допускается ввод не более 900 символов!" sqref="E12">
      <formula1>900</formula1>
    </dataValidation>
    <dataValidation type="decimal" allowBlank="1" showErrorMessage="1" errorTitle="Ошибка" error="Допускается ввод только неотрицательных чисел!" sqref="H11:AD11 O12 Q12 K12 M12 H12:I12 T12 X12 AB12">
      <formula1>0</formula1>
      <formula2>9.99999999999999E+23</formula2>
    </dataValidation>
    <dataValidation allowBlank="1" showErrorMessage="1" errorTitle="Ошибка" error="Допускается ввод только неотрицательных чисел!" sqref="E11:G11"/>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59999389629810485"/>
  </sheetPr>
  <dimension ref="A1:U17"/>
  <sheetViews>
    <sheetView showGridLines="0" topLeftCell="C5" zoomScale="90" workbookViewId="0"/>
  </sheetViews>
  <sheetFormatPr defaultColWidth="10.5703125" defaultRowHeight="14.25" customHeight="1"/>
  <cols>
    <col min="1" max="1" width="9.140625" style="1549" hidden="1" customWidth="1"/>
    <col min="2" max="2" width="9.140625" style="1552" hidden="1" customWidth="1"/>
    <col min="3" max="3" width="3.7109375" style="1762" customWidth="1"/>
    <col min="4" max="4" width="5.5703125" style="1552" customWidth="1"/>
    <col min="5" max="5" width="38.140625" style="1552" customWidth="1"/>
    <col min="6" max="7" width="3.7109375" style="1552" customWidth="1"/>
    <col min="8" max="8" width="38.28515625" style="1552" customWidth="1"/>
    <col min="9" max="9" width="35.7109375" style="1552" customWidth="1"/>
    <col min="10" max="10" width="103.7109375" style="1552" customWidth="1"/>
    <col min="11" max="11" width="3.7109375" style="1740" customWidth="1"/>
    <col min="12" max="14" width="10.5703125" style="1559"/>
    <col min="15" max="15" width="13.7109375" style="1559" customWidth="1"/>
    <col min="16" max="16" width="15.42578125" style="1559" customWidth="1"/>
    <col min="17" max="17" width="16.28515625" style="1559" customWidth="1"/>
    <col min="18" max="21" width="10.5703125" style="1559"/>
  </cols>
  <sheetData>
    <row r="1" spans="1:21" ht="14.25" hidden="1" customHeight="1">
      <c r="E1" s="342"/>
      <c r="F1" s="342"/>
      <c r="G1" s="342"/>
      <c r="H1" s="1977" t="s">
        <v>345</v>
      </c>
      <c r="I1" s="1977"/>
    </row>
    <row r="2" spans="1:21" s="1552" customFormat="1" ht="14.25" hidden="1" customHeight="1">
      <c r="C2" s="1536"/>
      <c r="D2" s="1980" t="s">
        <v>109</v>
      </c>
      <c r="E2" s="1982"/>
      <c r="F2" s="1542"/>
      <c r="G2" s="1537" t="s">
        <v>109</v>
      </c>
      <c r="H2" s="1540"/>
      <c r="I2" s="1538"/>
      <c r="L2" s="1539"/>
      <c r="M2" s="1539"/>
      <c r="N2" s="1539"/>
      <c r="O2" s="1539" t="s">
        <v>375</v>
      </c>
      <c r="P2" s="1539"/>
      <c r="Q2" s="1539"/>
      <c r="R2" s="1541" t="s">
        <v>374</v>
      </c>
      <c r="S2" s="1541" t="s">
        <v>374</v>
      </c>
      <c r="T2" s="1539"/>
      <c r="U2" s="1539"/>
    </row>
    <row r="3" spans="1:21" s="1552" customFormat="1" ht="14.25" hidden="1" customHeight="1">
      <c r="C3" s="1536"/>
      <c r="D3" s="1981"/>
      <c r="E3" s="1983"/>
      <c r="F3" s="335"/>
      <c r="G3" s="782"/>
      <c r="H3" s="782" t="s">
        <v>376</v>
      </c>
      <c r="I3" s="229"/>
      <c r="L3" s="1539"/>
      <c r="M3" s="1539"/>
      <c r="N3" s="1539"/>
      <c r="O3" s="1539"/>
      <c r="P3" s="1539"/>
      <c r="Q3" s="1539"/>
      <c r="R3" s="1541"/>
      <c r="S3" s="1541"/>
      <c r="T3" s="1539"/>
      <c r="U3" s="1539"/>
    </row>
    <row r="4" spans="1:21" ht="14.25" hidden="1" customHeight="1"/>
    <row r="5" spans="1:21" s="1531" customFormat="1" ht="6" customHeight="1">
      <c r="C5" s="616"/>
      <c r="D5" s="617"/>
      <c r="E5" s="617"/>
      <c r="F5" s="617"/>
      <c r="G5" s="617"/>
      <c r="H5" s="617" t="s">
        <v>349</v>
      </c>
      <c r="I5" s="617"/>
      <c r="J5" s="617"/>
      <c r="L5" s="1532"/>
      <c r="M5" s="1532"/>
      <c r="N5" s="1532"/>
      <c r="O5" s="1532"/>
      <c r="P5" s="1532"/>
      <c r="Q5" s="1532"/>
      <c r="R5" s="1532"/>
      <c r="S5" s="1532"/>
      <c r="T5" s="1532"/>
      <c r="U5" s="1532"/>
    </row>
    <row r="6" spans="1:21" ht="17.25" customHeight="1">
      <c r="C6" s="1428"/>
      <c r="D6" s="1867" t="s">
        <v>377</v>
      </c>
      <c r="E6" s="1868"/>
      <c r="F6" s="1868"/>
      <c r="G6" s="1868"/>
      <c r="H6" s="1868"/>
      <c r="I6" s="1868"/>
      <c r="J6" s="417"/>
      <c r="K6" s="1533"/>
    </row>
    <row r="7" spans="1:21" ht="17.25" customHeight="1">
      <c r="C7" s="1428"/>
      <c r="D7" s="1974" t="str">
        <f>IF(org=0,"Не определено",org)</f>
        <v>АО СЗ "КМАпроектжилстрой"</v>
      </c>
      <c r="E7" s="1975"/>
      <c r="F7" s="1975"/>
      <c r="G7" s="1975"/>
      <c r="H7" s="1975"/>
      <c r="I7" s="1975"/>
      <c r="J7" s="417"/>
      <c r="K7" s="1533"/>
    </row>
    <row r="8" spans="1:21" s="1530" customFormat="1" ht="6" customHeight="1">
      <c r="A8" s="1529"/>
      <c r="C8" s="412"/>
      <c r="D8" s="411"/>
      <c r="E8" s="411"/>
      <c r="F8" s="411"/>
      <c r="G8" s="411"/>
      <c r="H8" s="411"/>
      <c r="I8" s="411"/>
      <c r="J8" s="411"/>
      <c r="L8" s="1532"/>
      <c r="M8" s="1532"/>
      <c r="N8" s="1532"/>
      <c r="O8" s="1532"/>
      <c r="P8" s="1532"/>
      <c r="Q8" s="1532"/>
      <c r="R8" s="1532"/>
      <c r="S8" s="1532"/>
      <c r="T8" s="1532"/>
      <c r="U8" s="1532"/>
    </row>
    <row r="9" spans="1:21" s="1530" customFormat="1" ht="6" customHeight="1">
      <c r="A9" s="1529"/>
      <c r="C9" s="412"/>
      <c r="D9" s="411"/>
      <c r="E9" s="411"/>
      <c r="F9" s="411"/>
      <c r="G9" s="411"/>
      <c r="H9" s="411"/>
      <c r="I9" s="411"/>
      <c r="J9" s="411"/>
      <c r="L9" s="1539"/>
      <c r="M9" s="1539"/>
      <c r="N9" s="1539"/>
      <c r="O9" s="1539"/>
      <c r="P9" s="1539"/>
      <c r="Q9" s="1539"/>
      <c r="R9" s="1539"/>
      <c r="S9" s="1539"/>
      <c r="T9" s="1539"/>
      <c r="U9" s="1539"/>
    </row>
    <row r="10" spans="1:21" ht="14.25" customHeight="1">
      <c r="C10" s="1428"/>
      <c r="D10" s="1965" t="s">
        <v>291</v>
      </c>
      <c r="E10" s="1978"/>
      <c r="F10" s="1978"/>
      <c r="G10" s="1978"/>
      <c r="H10" s="1978"/>
      <c r="I10" s="1978"/>
      <c r="J10" s="1926" t="s">
        <v>292</v>
      </c>
    </row>
    <row r="11" spans="1:21" ht="25.5" customHeight="1">
      <c r="C11" s="1428"/>
      <c r="D11" s="1874" t="s">
        <v>88</v>
      </c>
      <c r="E11" s="1926" t="str">
        <f>IF(TEMPLATE_SPHERE&lt;&gt;"HEAT","Регулируемый вид деятельности","Вид регулируемой деятельности")</f>
        <v>Регулируемый вид деятельности</v>
      </c>
      <c r="F11" s="1929" t="s">
        <v>88</v>
      </c>
      <c r="G11" s="1930"/>
      <c r="H11" s="1928" t="s">
        <v>378</v>
      </c>
      <c r="I11" s="1928" t="s">
        <v>379</v>
      </c>
      <c r="J11" s="1926"/>
    </row>
    <row r="12" spans="1:21" ht="14.25" customHeight="1">
      <c r="C12" s="1428"/>
      <c r="D12" s="1874"/>
      <c r="E12" s="1926"/>
      <c r="F12" s="1934"/>
      <c r="G12" s="1935"/>
      <c r="H12" s="1984"/>
      <c r="I12" s="1984"/>
      <c r="J12" s="1926"/>
    </row>
    <row r="13" spans="1:21" s="1558" customFormat="1" ht="11.25" customHeight="1">
      <c r="C13" s="424"/>
      <c r="D13" s="425" t="s">
        <v>369</v>
      </c>
      <c r="E13" s="425"/>
      <c r="F13" s="425"/>
      <c r="G13" s="425"/>
      <c r="H13" s="423"/>
      <c r="I13" s="423"/>
      <c r="J13" s="363"/>
      <c r="L13" s="1532"/>
      <c r="M13" s="1532"/>
      <c r="N13" s="1532"/>
      <c r="O13" s="1532"/>
      <c r="P13" s="1532"/>
      <c r="Q13" s="1532"/>
      <c r="R13" s="1532"/>
      <c r="S13" s="1532"/>
      <c r="T13" s="1532"/>
      <c r="U13" s="1532"/>
    </row>
    <row r="14" spans="1:21" ht="14.25" customHeight="1">
      <c r="A14" s="1527"/>
      <c r="C14" s="1428"/>
      <c r="D14" s="1980" t="s">
        <v>109</v>
      </c>
      <c r="E14" s="1982"/>
      <c r="F14" s="1535"/>
      <c r="G14" s="1534" t="s">
        <v>109</v>
      </c>
      <c r="H14" s="1540"/>
      <c r="I14" s="1538"/>
      <c r="J14" s="1918" t="s">
        <v>380</v>
      </c>
      <c r="K14" s="1527"/>
      <c r="R14" s="426" t="s">
        <v>374</v>
      </c>
      <c r="S14" s="426" t="s">
        <v>374</v>
      </c>
    </row>
    <row r="15" spans="1:21" ht="14.25" customHeight="1">
      <c r="A15" s="1527"/>
      <c r="C15" s="1428"/>
      <c r="D15" s="1981"/>
      <c r="E15" s="1983"/>
      <c r="F15" s="335"/>
      <c r="G15" s="782"/>
      <c r="H15" s="782" t="s">
        <v>376</v>
      </c>
      <c r="I15" s="229"/>
      <c r="J15" s="1919"/>
      <c r="K15" s="1527"/>
      <c r="R15" s="426"/>
      <c r="S15" s="426"/>
    </row>
    <row r="16" spans="1:21" ht="14.25" customHeight="1">
      <c r="A16" s="1527"/>
      <c r="C16" s="1428"/>
      <c r="D16" s="335"/>
      <c r="E16" s="782" t="s">
        <v>126</v>
      </c>
      <c r="F16" s="229"/>
      <c r="G16" s="229"/>
      <c r="H16" s="336"/>
      <c r="I16" s="336"/>
      <c r="J16" s="1920"/>
      <c r="K16" s="1527"/>
    </row>
    <row r="17" spans="11:11" ht="14.25" customHeight="1">
      <c r="K17" s="1527"/>
    </row>
  </sheetData>
  <sheetProtection formatColumns="0" formatRows="0" insertRows="0" deleteColumns="0" deleteRows="0" sort="0" autoFilter="0"/>
  <mergeCells count="15">
    <mergeCell ref="J14:J16"/>
    <mergeCell ref="D10:I10"/>
    <mergeCell ref="J10:J12"/>
    <mergeCell ref="D11:D12"/>
    <mergeCell ref="E11:E12"/>
    <mergeCell ref="F11:G12"/>
    <mergeCell ref="H11:H12"/>
    <mergeCell ref="I11:I12"/>
    <mergeCell ref="D14:D15"/>
    <mergeCell ref="E14:E15"/>
    <mergeCell ref="H1:I1"/>
    <mergeCell ref="D6:I6"/>
    <mergeCell ref="D7:I7"/>
    <mergeCell ref="D2:D3"/>
    <mergeCell ref="E2:E3"/>
  </mergeCells>
  <dataValidations count="5">
    <dataValidation type="textLength" operator="lessThanOrEqual" allowBlank="1" showInputMessage="1" showErrorMessage="1" errorTitle="Ошибка" error="Допускается ввод не более 900 символов!" sqref="H14 H2">
      <formula1>900</formula1>
    </dataValidation>
    <dataValidation allowBlank="1" showErrorMessage="1" errorTitle="Ошибка" error="Допускается ввод только неотрицательных чисел!" sqref="E13:G13"/>
    <dataValidation type="decimal" allowBlank="1" showErrorMessage="1" errorTitle="Ошибка" error="Допускается ввод только неотрицательных чисел!" sqref="H13:I13">
      <formula1>0</formula1>
      <formula2>9.99999999999999E+23</formula2>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E14 E2"/>
    <dataValidation type="whole" allowBlank="1" showErrorMessage="1" errorTitle="Ошибка" error="Допускается ввод только неотрицательных целых чисел!" sqref="I14 I2">
      <formula1>0</formula1>
      <formula2>9.99999999999999E+23</formula2>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59999389629810485"/>
  </sheetPr>
  <dimension ref="A1:V18"/>
  <sheetViews>
    <sheetView showGridLines="0" topLeftCell="D3" zoomScale="90" workbookViewId="0"/>
  </sheetViews>
  <sheetFormatPr defaultColWidth="10.5703125" defaultRowHeight="14.25" customHeight="1"/>
  <cols>
    <col min="1" max="1" width="9.140625" style="1549" hidden="1" customWidth="1"/>
    <col min="2" max="3" width="9.140625" style="1552" hidden="1" customWidth="1"/>
    <col min="4" max="4" width="3.7109375" style="1762" customWidth="1"/>
    <col min="5" max="5" width="6.28515625" style="1552" customWidth="1"/>
    <col min="6" max="6" width="1.7109375" style="1552" hidden="1" customWidth="1"/>
    <col min="7" max="8" width="30.7109375" style="1552" customWidth="1"/>
    <col min="9" max="9" width="9" style="1552" customWidth="1"/>
    <col min="10" max="10" width="12.140625" style="1552" customWidth="1"/>
    <col min="11" max="11" width="46.7109375" style="1552" customWidth="1"/>
    <col min="12" max="12" width="100.28515625" style="1552" customWidth="1"/>
    <col min="13" max="13" width="7.5703125" style="1740" customWidth="1"/>
    <col min="14" max="22" width="10.5703125" style="1552"/>
  </cols>
  <sheetData>
    <row r="1" spans="1:22" s="1559" customFormat="1" ht="5.25" hidden="1" customHeight="1">
      <c r="C1" s="437"/>
      <c r="D1" s="420"/>
      <c r="F1" s="437"/>
      <c r="G1" s="415" t="s">
        <v>83</v>
      </c>
      <c r="H1" s="415" t="s">
        <v>84</v>
      </c>
      <c r="I1" s="415" t="s">
        <v>85</v>
      </c>
      <c r="P1" s="415" t="s">
        <v>83</v>
      </c>
      <c r="Q1" s="415" t="s">
        <v>84</v>
      </c>
      <c r="R1" s="415" t="s">
        <v>85</v>
      </c>
    </row>
    <row r="2" spans="1:22" s="1559" customFormat="1" ht="5.25" hidden="1" customHeight="1">
      <c r="C2" s="437"/>
      <c r="D2" s="420"/>
      <c r="F2" s="437"/>
    </row>
    <row r="3" spans="1:22" s="1530" customFormat="1" ht="6" customHeight="1">
      <c r="A3" s="405"/>
      <c r="D3" s="412"/>
      <c r="E3" s="407"/>
      <c r="F3" s="407"/>
      <c r="G3" s="407"/>
      <c r="H3" s="407"/>
      <c r="I3" s="408"/>
      <c r="J3" s="409"/>
      <c r="K3" s="409"/>
      <c r="L3" s="409"/>
    </row>
    <row r="4" spans="1:22" ht="22.5" customHeight="1">
      <c r="D4" s="377"/>
      <c r="E4" s="1867" t="s">
        <v>381</v>
      </c>
      <c r="F4" s="1867"/>
      <c r="G4" s="1868"/>
      <c r="H4" s="1868"/>
      <c r="I4" s="1869"/>
      <c r="J4" s="417"/>
      <c r="K4" s="379"/>
      <c r="L4" s="379"/>
    </row>
    <row r="5" spans="1:22" s="1552" customFormat="1" ht="17.25" customHeight="1">
      <c r="A5" s="673"/>
      <c r="D5" s="735"/>
      <c r="E5" s="1974" t="str">
        <f>IF(org=0,"Не определено",org)</f>
        <v>АО СЗ "КМАпроектжилстрой"</v>
      </c>
      <c r="F5" s="1974"/>
      <c r="G5" s="1975"/>
      <c r="H5" s="1975"/>
      <c r="I5" s="1976"/>
      <c r="J5" s="417"/>
      <c r="K5" s="379"/>
      <c r="L5" s="379"/>
      <c r="M5" s="433"/>
    </row>
    <row r="6" spans="1:22" s="1530" customFormat="1" ht="11.25" customHeight="1">
      <c r="A6" s="405"/>
      <c r="D6" s="412"/>
      <c r="E6" s="407"/>
      <c r="F6" s="407"/>
      <c r="G6" s="410"/>
      <c r="H6" s="410"/>
      <c r="I6" s="411"/>
      <c r="J6" s="411"/>
      <c r="K6" s="666"/>
      <c r="L6" s="411"/>
    </row>
    <row r="7" spans="1:22" ht="14.25" customHeight="1">
      <c r="D7" s="377"/>
      <c r="E7" s="1958" t="s">
        <v>291</v>
      </c>
      <c r="F7" s="1958"/>
      <c r="G7" s="1959"/>
      <c r="H7" s="1959"/>
      <c r="I7" s="1959"/>
      <c r="J7" s="1959"/>
      <c r="K7" s="1959"/>
      <c r="L7" s="1926" t="s">
        <v>292</v>
      </c>
    </row>
    <row r="8" spans="1:22" ht="45" customHeight="1">
      <c r="D8" s="377"/>
      <c r="E8" s="399" t="s">
        <v>88</v>
      </c>
      <c r="F8" s="736"/>
      <c r="G8" s="391" t="s">
        <v>86</v>
      </c>
      <c r="H8" s="391" t="s">
        <v>87</v>
      </c>
      <c r="I8" s="344" t="s">
        <v>85</v>
      </c>
      <c r="J8" s="344" t="s">
        <v>382</v>
      </c>
      <c r="K8" s="344" t="s">
        <v>383</v>
      </c>
      <c r="L8" s="1926"/>
    </row>
    <row r="9" spans="1:22" ht="12" hidden="1" customHeight="1">
      <c r="D9" s="413"/>
      <c r="E9" s="419"/>
      <c r="F9" s="743"/>
      <c r="G9" s="419"/>
      <c r="H9" s="419"/>
      <c r="I9" s="419"/>
      <c r="J9" s="419"/>
      <c r="K9" s="419"/>
      <c r="L9" s="419"/>
      <c r="M9" s="375"/>
    </row>
    <row r="10" spans="1:22" ht="14.25" hidden="1" customHeight="1">
      <c r="A10" s="431"/>
      <c r="B10" s="431"/>
      <c r="D10" s="432"/>
      <c r="E10" s="438">
        <v>0</v>
      </c>
      <c r="F10" s="734"/>
      <c r="G10" s="434"/>
      <c r="H10" s="434"/>
      <c r="I10" s="434"/>
      <c r="J10" s="434"/>
      <c r="K10" s="434"/>
      <c r="L10" s="1972" t="s">
        <v>384</v>
      </c>
      <c r="M10" s="433"/>
      <c r="N10" s="431"/>
      <c r="O10" s="431"/>
      <c r="P10" s="431"/>
      <c r="Q10" s="431"/>
      <c r="R10" s="431"/>
      <c r="S10" s="431"/>
      <c r="T10" s="431"/>
      <c r="U10" s="431"/>
      <c r="V10" s="431"/>
    </row>
    <row r="11" spans="1:22" ht="15" hidden="1" customHeight="1">
      <c r="A11" s="1859"/>
      <c r="B11" s="430"/>
      <c r="C11" s="430"/>
      <c r="D11" s="778"/>
      <c r="E11" s="439"/>
      <c r="F11" s="439"/>
      <c r="G11" s="439"/>
      <c r="H11" s="439"/>
      <c r="I11" s="440"/>
      <c r="J11" s="441"/>
      <c r="K11" s="628"/>
      <c r="L11" s="1985"/>
      <c r="M11" s="437"/>
      <c r="N11" s="437"/>
      <c r="O11" s="437"/>
      <c r="P11" s="442"/>
      <c r="Q11" s="442"/>
      <c r="R11" s="443"/>
      <c r="S11" s="437"/>
      <c r="T11" s="437"/>
      <c r="U11" s="437"/>
      <c r="V11" s="437"/>
    </row>
    <row r="12" spans="1:22" s="1530" customFormat="1" ht="14.25" customHeight="1">
      <c r="A12" s="1859"/>
      <c r="B12" s="430"/>
      <c r="C12" s="430"/>
      <c r="D12" s="779"/>
      <c r="E12" s="736">
        <v>1</v>
      </c>
      <c r="F12" s="777">
        <v>23</v>
      </c>
      <c r="G12" s="776"/>
      <c r="H12" s="706"/>
      <c r="I12" s="704"/>
      <c r="J12" s="446" t="s">
        <v>59</v>
      </c>
      <c r="K12" s="1066" t="s">
        <v>18</v>
      </c>
      <c r="L12" s="1985"/>
      <c r="M12" s="437"/>
      <c r="N12" s="437"/>
      <c r="O12" s="437"/>
      <c r="P12" s="442" t="s">
        <v>385</v>
      </c>
      <c r="Q12" s="442" t="s">
        <v>386</v>
      </c>
      <c r="R12" s="443" t="s">
        <v>387</v>
      </c>
      <c r="S12" s="437" t="s">
        <v>388</v>
      </c>
      <c r="T12" s="437"/>
      <c r="U12" s="437"/>
      <c r="V12" s="437"/>
    </row>
    <row r="13" spans="1:22" ht="15" customHeight="1">
      <c r="A13" s="1859"/>
      <c r="B13" s="431"/>
      <c r="D13" s="432"/>
      <c r="E13" s="335"/>
      <c r="F13" s="455"/>
      <c r="G13" s="346" t="s">
        <v>102</v>
      </c>
      <c r="H13" s="334"/>
      <c r="I13" s="334"/>
      <c r="J13" s="334"/>
      <c r="K13" s="333"/>
      <c r="L13" s="1973"/>
      <c r="M13" s="435"/>
      <c r="N13" s="431"/>
      <c r="O13" s="431"/>
      <c r="P13" s="431"/>
      <c r="Q13" s="431"/>
      <c r="R13" s="431"/>
      <c r="S13" s="431"/>
      <c r="T13" s="431"/>
      <c r="U13" s="431"/>
      <c r="V13" s="431"/>
    </row>
    <row r="14" spans="1:22" ht="11.25" customHeight="1">
      <c r="A14" s="405"/>
      <c r="B14" s="406"/>
      <c r="C14" s="406"/>
      <c r="D14" s="421"/>
      <c r="E14" s="406"/>
      <c r="F14" s="406"/>
      <c r="G14" s="406"/>
      <c r="H14" s="406"/>
      <c r="I14" s="406"/>
      <c r="J14" s="406"/>
      <c r="K14" s="406"/>
      <c r="L14" s="406"/>
      <c r="M14" s="406"/>
      <c r="N14" s="406"/>
      <c r="O14" s="406"/>
      <c r="P14" s="406"/>
      <c r="Q14" s="406"/>
      <c r="R14" s="406"/>
      <c r="S14" s="406"/>
      <c r="T14" s="406"/>
      <c r="U14" s="406"/>
      <c r="V14" s="406"/>
    </row>
    <row r="15" spans="1:22" ht="14.25" customHeight="1">
      <c r="D15" s="392"/>
      <c r="E15" s="258"/>
      <c r="F15" s="258"/>
      <c r="G15" s="580" t="str">
        <f>"&lt;1&gt; Указывается информация по муниципальным районам и муниципальным образованиям, на территории которых регулируемая организация осуществляет "&amp;IF(TEMPLATE_SPHERE&lt;&gt;"TKO","регулируемый вид деятельности в сфере "&amp;TEMPLATE_SPHERE_RUS&amp;".","деятельность в области обращения с "&amp;TEMPLATE_SPHERE_RUS_2&amp;".")</f>
        <v>&lt;1&gt; Указывается информация по муниципальным районам и муниципальным образованиям, на территории которых регулируемая организация осуществляет регулируемый вид деятельности в сфере холодного водоснабжения.</v>
      </c>
      <c r="H15" s="392"/>
      <c r="I15" s="392"/>
      <c r="J15" s="392"/>
      <c r="K15" s="392"/>
      <c r="L15" s="392"/>
    </row>
    <row r="18" spans="7:7" ht="14.25" customHeight="1">
      <c r="G18" s="431"/>
    </row>
  </sheetData>
  <sheetProtection formatColumns="0" formatRows="0" insertRows="0" deleteColumns="0" deleteRows="0" sort="0" autoFilter="0"/>
  <mergeCells count="6">
    <mergeCell ref="A11:A13"/>
    <mergeCell ref="E4:I4"/>
    <mergeCell ref="E7:K7"/>
    <mergeCell ref="L7:L8"/>
    <mergeCell ref="L10:L13"/>
    <mergeCell ref="E5:I5"/>
  </mergeCells>
  <dataValidations count="3">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K12">
      <formula1>900</formula1>
    </dataValidation>
    <dataValidation allowBlank="1" showInputMessage="1" showErrorMessage="1" prompt="Изменение значения по двойному щелчоку левой кнопки мыши" sqref="J12"/>
    <dataValidation type="decimal" allowBlank="1" showErrorMessage="1" errorTitle="Ошибка" error="Допускается ввод только неотрицательных чисел!" sqref="G10:K10">
      <formula1>0</formula1>
      <formula2>9.99999999999999E+23</formula2>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2:GB203"/>
  <sheetViews>
    <sheetView showGridLines="0" zoomScale="85" workbookViewId="0"/>
  </sheetViews>
  <sheetFormatPr defaultRowHeight="17.100000000000001" customHeight="1"/>
  <cols>
    <col min="1" max="1" width="26.5703125" style="1807" customWidth="1"/>
    <col min="2" max="2" width="10" style="1807" customWidth="1"/>
    <col min="3" max="3" width="9.140625" style="1807"/>
    <col min="4" max="4" width="11.140625" style="1807" customWidth="1"/>
    <col min="5" max="5" width="16.5703125" style="1807" customWidth="1"/>
    <col min="6" max="6" width="16.28515625" style="1807" customWidth="1"/>
    <col min="7" max="7" width="19.140625" style="1807" customWidth="1"/>
    <col min="8" max="11" width="10" style="1807" customWidth="1"/>
    <col min="12" max="12" width="12.7109375" style="1807" customWidth="1"/>
    <col min="13" max="13" width="61.28515625" style="1807" customWidth="1"/>
    <col min="14" max="14" width="10" style="1807" customWidth="1"/>
    <col min="15" max="17" width="23.7109375" style="1807" customWidth="1"/>
    <col min="18" max="18" width="11.7109375" style="1807" customWidth="1"/>
    <col min="19" max="19" width="8.5703125" style="1807" customWidth="1"/>
    <col min="20" max="20" width="11.7109375" style="1807" customWidth="1"/>
    <col min="21" max="21" width="8.5703125" style="1807" customWidth="1"/>
    <col min="22" max="22" width="4.7109375" style="1807" customWidth="1"/>
    <col min="23" max="23" width="115.7109375" style="1807" customWidth="1"/>
    <col min="24" max="24" width="115.28515625" style="1807" customWidth="1"/>
    <col min="25" max="27" width="9.140625" style="1807"/>
    <col min="28" max="28" width="115.7109375" style="1807" customWidth="1"/>
    <col min="29" max="29" width="9.140625" style="1807"/>
    <col min="30" max="90" width="115.7109375" style="1807" customWidth="1"/>
    <col min="91" max="184" width="9.140625" style="1807"/>
  </cols>
  <sheetData>
    <row r="2" spans="1:80" s="1736" customFormat="1" ht="17.25" customHeight="1">
      <c r="A2" s="1736" t="s">
        <v>389</v>
      </c>
    </row>
    <row r="4" spans="1:80" s="179" customFormat="1" ht="15" customHeight="1">
      <c r="C4" s="1737"/>
      <c r="D4" s="39"/>
      <c r="E4" s="303"/>
    </row>
    <row r="6" spans="1:80" s="1736" customFormat="1" ht="17.25" customHeight="1">
      <c r="A6" s="1736" t="s">
        <v>390</v>
      </c>
    </row>
    <row r="8" spans="1:80" s="179" customFormat="1" ht="17.25" customHeight="1">
      <c r="C8" s="1738"/>
      <c r="D8" s="39"/>
      <c r="E8" s="40"/>
    </row>
    <row r="11" spans="1:80" s="1736" customFormat="1" ht="17.25" customHeight="1">
      <c r="A11" s="1736" t="s">
        <v>391</v>
      </c>
    </row>
    <row r="13" spans="1:80" s="1740" customFormat="1" ht="15" customHeight="1">
      <c r="A13" s="1977">
        <v>1</v>
      </c>
      <c r="B13" s="1062"/>
      <c r="C13" s="714" t="s">
        <v>121</v>
      </c>
      <c r="D13" s="1739"/>
      <c r="E13" s="1726">
        <f>A13</f>
        <v>1</v>
      </c>
      <c r="F13" s="717"/>
      <c r="G13" s="465" t="str">
        <f>"Территория "&amp;E13</f>
        <v>Территория 1</v>
      </c>
      <c r="H13" s="705"/>
      <c r="I13" s="705"/>
      <c r="J13" s="702"/>
      <c r="K13" s="1541"/>
      <c r="L13" s="1541"/>
      <c r="M13" s="1541"/>
      <c r="N13" s="143"/>
      <c r="O13" s="1541"/>
      <c r="P13" s="142"/>
      <c r="Q13" s="142"/>
      <c r="R13" s="142"/>
      <c r="S13" s="142"/>
    </row>
    <row r="14" spans="1:80" s="1807" customFormat="1" ht="15" customHeight="1">
      <c r="A14" s="1977"/>
      <c r="B14" s="1062">
        <v>1</v>
      </c>
      <c r="C14" s="1062"/>
      <c r="D14" s="713" t="s">
        <v>121</v>
      </c>
      <c r="E14" s="1734" t="str">
        <f>A13&amp;"."&amp;B14</f>
        <v>1.1</v>
      </c>
      <c r="F14" s="716">
        <f>$F$16</f>
        <v>0</v>
      </c>
      <c r="G14" s="706"/>
      <c r="H14" s="706"/>
      <c r="I14" s="704"/>
      <c r="J14" s="1541" t="e">
        <f ca="1">MERGEVALUE(G14)</f>
        <v>#NAME?</v>
      </c>
      <c r="K14" s="1553"/>
      <c r="L14" s="1553"/>
      <c r="M14" s="1541" t="str">
        <f t="array" ref="M14">IF(ISERROR(MATCH(MID(N14,1,250),MID(note_ter,1,250),0)),"n","y")</f>
        <v>n</v>
      </c>
      <c r="N14" s="1553"/>
      <c r="O14" s="1541" t="str">
        <f>H14&amp;"("&amp;I14&amp;")"</f>
        <v>()</v>
      </c>
      <c r="P14" s="1062"/>
      <c r="Q14" s="1062"/>
      <c r="R14" s="349"/>
      <c r="S14" s="1062"/>
      <c r="T14" s="1062"/>
      <c r="U14" s="1062"/>
      <c r="V14" s="351"/>
      <c r="W14" s="351"/>
      <c r="X14" s="348"/>
      <c r="Y14" s="348"/>
      <c r="Z14" s="348"/>
      <c r="AA14" s="348"/>
      <c r="AB14" s="348"/>
      <c r="AC14" s="348"/>
      <c r="AD14" s="348"/>
      <c r="AE14" s="348"/>
      <c r="AF14" s="348"/>
      <c r="AG14" s="348"/>
      <c r="AH14" s="348"/>
      <c r="AI14" s="348"/>
      <c r="AJ14" s="348"/>
      <c r="AK14" s="348"/>
      <c r="AL14" s="348"/>
      <c r="AM14" s="348"/>
      <c r="AN14" s="348"/>
      <c r="AO14" s="348"/>
      <c r="AP14" s="348"/>
      <c r="AQ14" s="348"/>
      <c r="AR14" s="348"/>
      <c r="AS14" s="348"/>
      <c r="AT14" s="348"/>
      <c r="AU14" s="348"/>
      <c r="AV14" s="348"/>
      <c r="AW14" s="348"/>
      <c r="AX14" s="348"/>
      <c r="AY14" s="348"/>
      <c r="AZ14" s="348"/>
      <c r="BA14" s="348"/>
      <c r="BB14" s="348"/>
      <c r="BC14" s="348"/>
      <c r="BD14" s="348"/>
      <c r="BE14" s="348"/>
      <c r="BF14" s="348"/>
      <c r="BG14" s="348"/>
      <c r="BH14" s="348"/>
      <c r="BI14" s="348"/>
      <c r="BJ14" s="348"/>
      <c r="BK14" s="348"/>
      <c r="BL14" s="348"/>
      <c r="BM14" s="348"/>
      <c r="BN14" s="348"/>
      <c r="BO14" s="348"/>
      <c r="BP14" s="348"/>
      <c r="BQ14" s="348"/>
      <c r="BR14" s="348"/>
      <c r="BS14" s="351"/>
      <c r="BT14" s="351"/>
      <c r="BU14" s="351"/>
      <c r="BV14" s="351"/>
      <c r="BW14" s="351"/>
      <c r="BX14" s="351"/>
      <c r="BY14" s="351"/>
      <c r="BZ14" s="351"/>
      <c r="CA14" s="351"/>
      <c r="CB14" s="351"/>
    </row>
    <row r="15" spans="1:80" s="1807" customFormat="1" ht="15" customHeight="1">
      <c r="A15" s="1977"/>
      <c r="B15" s="1062"/>
      <c r="C15" s="342"/>
      <c r="D15" s="714"/>
      <c r="E15" s="350"/>
      <c r="F15" s="95"/>
      <c r="G15" s="345" t="s">
        <v>102</v>
      </c>
      <c r="H15" s="105"/>
      <c r="I15" s="352"/>
      <c r="J15" s="1553"/>
      <c r="K15" s="1553"/>
      <c r="L15" s="1553"/>
      <c r="M15" s="1553"/>
      <c r="N15" s="1541"/>
      <c r="O15" s="1553"/>
      <c r="P15" s="1062"/>
      <c r="Q15" s="1062"/>
      <c r="R15" s="349"/>
      <c r="S15" s="1062"/>
      <c r="T15" s="1062"/>
      <c r="U15" s="1062"/>
      <c r="V15" s="351"/>
      <c r="W15" s="351"/>
      <c r="X15" s="348"/>
      <c r="Y15" s="348"/>
      <c r="Z15" s="348"/>
      <c r="AA15" s="348"/>
      <c r="AB15" s="348"/>
      <c r="AC15" s="348"/>
      <c r="AD15" s="348"/>
      <c r="AE15" s="348"/>
      <c r="AF15" s="348"/>
      <c r="AG15" s="348"/>
      <c r="AH15" s="348"/>
      <c r="AI15" s="348"/>
      <c r="AJ15" s="348"/>
      <c r="AK15" s="348"/>
      <c r="AL15" s="348"/>
      <c r="AM15" s="348"/>
      <c r="AN15" s="348"/>
      <c r="AO15" s="348"/>
      <c r="AP15" s="348"/>
      <c r="AQ15" s="348"/>
      <c r="AR15" s="348"/>
      <c r="AS15" s="348"/>
      <c r="AT15" s="348"/>
      <c r="AU15" s="348"/>
      <c r="AV15" s="348"/>
      <c r="AW15" s="348"/>
      <c r="AX15" s="348"/>
      <c r="AY15" s="348"/>
      <c r="AZ15" s="348"/>
      <c r="BA15" s="348"/>
      <c r="BB15" s="348"/>
      <c r="BC15" s="348"/>
      <c r="BD15" s="348"/>
      <c r="BE15" s="348"/>
      <c r="BF15" s="348"/>
      <c r="BG15" s="348"/>
      <c r="BH15" s="348"/>
      <c r="BI15" s="348"/>
      <c r="BJ15" s="348"/>
      <c r="BK15" s="348"/>
      <c r="BL15" s="348"/>
      <c r="BM15" s="348"/>
      <c r="BN15" s="348"/>
      <c r="BO15" s="348"/>
      <c r="BP15" s="348"/>
      <c r="BQ15" s="348"/>
      <c r="BR15" s="348"/>
      <c r="BS15" s="351"/>
      <c r="BT15" s="351"/>
      <c r="BU15" s="351"/>
      <c r="BV15" s="351"/>
      <c r="BW15" s="351"/>
      <c r="BX15" s="351"/>
      <c r="BY15" s="351"/>
      <c r="BZ15" s="351"/>
      <c r="CA15" s="351"/>
      <c r="CB15" s="351"/>
    </row>
    <row r="17" spans="1:38" s="1807" customFormat="1" ht="15" customHeight="1">
      <c r="A17" s="1736" t="s">
        <v>392</v>
      </c>
      <c r="B17" s="1736"/>
      <c r="C17" s="1736"/>
      <c r="D17" s="1736"/>
      <c r="E17" s="1736"/>
      <c r="F17" s="1736"/>
      <c r="G17" s="1736"/>
      <c r="H17" s="1736"/>
      <c r="I17" s="1736"/>
      <c r="J17" s="1736"/>
      <c r="K17" s="1736"/>
      <c r="L17" s="1736"/>
      <c r="M17" s="1736"/>
      <c r="N17" s="1736"/>
      <c r="O17" s="1736"/>
      <c r="P17" s="1736"/>
      <c r="Q17" s="1736"/>
      <c r="R17" s="1736"/>
      <c r="S17" s="1736"/>
      <c r="T17" s="1736"/>
      <c r="U17" s="102"/>
      <c r="V17" s="1736"/>
      <c r="W17" s="1736"/>
    </row>
    <row r="18" spans="1:38" s="1807" customFormat="1" ht="15" customHeight="1">
      <c r="U18" s="103"/>
    </row>
    <row r="19" spans="1:38" s="1773" customFormat="1" ht="15" customHeight="1">
      <c r="A19"/>
      <c r="B19"/>
      <c r="C19" s="1644" t="s">
        <v>121</v>
      </c>
      <c r="D19" s="1886" t="s">
        <v>109</v>
      </c>
      <c r="E19" s="2029"/>
      <c r="F19" s="1885" t="s">
        <v>57</v>
      </c>
      <c r="G19" s="2030"/>
      <c r="H19" s="1874">
        <v>1</v>
      </c>
      <c r="I19" s="2032" t="str">
        <f>IF(U19="","",INDEX(TERRITORY_MR_LIST,MATCH(U19,TERRITORY_LIST_ID,0)))</f>
        <v/>
      </c>
      <c r="J19" s="1885" t="s">
        <v>57</v>
      </c>
      <c r="K19" s="745"/>
      <c r="L19" s="1702" t="s">
        <v>109</v>
      </c>
      <c r="M19" s="521"/>
      <c r="N19" s="522"/>
      <c r="O19" s="522"/>
      <c r="P19" s="522"/>
      <c r="Q19" s="522"/>
      <c r="R19" s="522"/>
      <c r="S19" s="522"/>
      <c r="T19" s="522"/>
      <c r="U19" s="523"/>
      <c r="V19" s="522"/>
      <c r="W19" s="522"/>
      <c r="X19" s="514"/>
      <c r="Y19" s="514" t="s">
        <v>120</v>
      </c>
      <c r="Z19" s="514">
        <v>1705000</v>
      </c>
      <c r="AA19" s="514"/>
      <c r="AB19" s="514"/>
      <c r="AC19" s="514"/>
      <c r="AD19" s="514"/>
      <c r="AE19" s="514"/>
      <c r="AF19" s="514"/>
      <c r="AG19" s="514"/>
      <c r="AH19" s="514"/>
      <c r="AI19" s="514"/>
      <c r="AJ19" s="514"/>
      <c r="AK19" s="514"/>
      <c r="AL19" s="514"/>
    </row>
    <row r="20" spans="1:38" s="1773" customFormat="1" ht="15" customHeight="1">
      <c r="A20"/>
      <c r="B20"/>
      <c r="C20" s="94"/>
      <c r="D20" s="1886"/>
      <c r="E20" s="2029"/>
      <c r="F20" s="1885"/>
      <c r="G20" s="2031"/>
      <c r="H20" s="1874"/>
      <c r="I20" s="2033"/>
      <c r="J20" s="1885"/>
      <c r="K20" s="350"/>
      <c r="L20" s="95"/>
      <c r="M20" s="524" t="s">
        <v>124</v>
      </c>
      <c r="N20" s="522"/>
      <c r="O20" s="522"/>
      <c r="P20" s="522"/>
      <c r="Q20" s="522"/>
      <c r="R20" s="522"/>
      <c r="S20" s="522"/>
      <c r="T20" s="522"/>
      <c r="U20" s="523"/>
      <c r="V20" s="522"/>
      <c r="W20" s="522"/>
      <c r="X20" s="514"/>
      <c r="Y20" s="514"/>
      <c r="Z20" s="514"/>
      <c r="AA20" s="514"/>
      <c r="AB20" s="514"/>
      <c r="AC20" s="514"/>
      <c r="AD20" s="514"/>
      <c r="AE20" s="514"/>
      <c r="AF20" s="514"/>
      <c r="AG20" s="514"/>
      <c r="AH20" s="514"/>
      <c r="AI20" s="514"/>
      <c r="AJ20" s="514"/>
      <c r="AK20" s="514"/>
      <c r="AL20" s="514"/>
    </row>
    <row r="21" spans="1:38" s="1773" customFormat="1" ht="15" customHeight="1">
      <c r="A21"/>
      <c r="B21"/>
      <c r="C21" s="94"/>
      <c r="D21" s="1886"/>
      <c r="E21" s="2029"/>
      <c r="F21" s="1885"/>
      <c r="G21" s="350"/>
      <c r="H21" s="95"/>
      <c r="I21" s="501" t="s">
        <v>125</v>
      </c>
      <c r="J21" s="95"/>
      <c r="K21" s="95"/>
      <c r="L21" s="95"/>
      <c r="M21" s="525"/>
      <c r="N21" s="522"/>
      <c r="O21" s="522"/>
      <c r="P21" s="522"/>
      <c r="Q21" s="522"/>
      <c r="R21" s="522"/>
      <c r="S21" s="522"/>
      <c r="T21" s="522"/>
      <c r="U21" s="523"/>
      <c r="V21" s="522"/>
      <c r="W21" s="522"/>
      <c r="X21" s="514"/>
      <c r="Y21" s="514"/>
      <c r="Z21" s="514"/>
      <c r="AA21" s="514"/>
      <c r="AB21" s="514"/>
      <c r="AC21" s="514"/>
      <c r="AD21" s="514"/>
      <c r="AE21" s="514"/>
      <c r="AF21" s="514"/>
      <c r="AG21" s="514"/>
      <c r="AH21" s="514"/>
      <c r="AI21" s="514"/>
      <c r="AJ21" s="514"/>
      <c r="AK21" s="514"/>
      <c r="AL21" s="514"/>
    </row>
    <row r="22" spans="1:38" s="1807" customFormat="1" ht="15" customHeight="1">
      <c r="U22" s="103"/>
    </row>
    <row r="23" spans="1:38" s="1807" customFormat="1" ht="15" customHeight="1">
      <c r="A23" s="1736" t="s">
        <v>393</v>
      </c>
      <c r="B23" s="1736"/>
      <c r="C23" s="1736"/>
      <c r="D23" s="1736"/>
      <c r="E23" s="1736"/>
      <c r="F23" s="1736"/>
      <c r="G23" s="1736"/>
      <c r="H23" s="1736"/>
      <c r="I23" s="1736"/>
      <c r="J23" s="1736"/>
      <c r="K23" s="1736"/>
      <c r="L23" s="1736"/>
      <c r="M23" s="1736"/>
      <c r="N23" s="1736"/>
      <c r="O23" s="1736"/>
      <c r="P23" s="1736"/>
      <c r="Q23" s="1736"/>
      <c r="R23" s="1736"/>
      <c r="S23" s="1736"/>
      <c r="T23" s="1736"/>
      <c r="U23" s="102"/>
      <c r="V23" s="1736"/>
      <c r="W23" s="1736"/>
    </row>
    <row r="24" spans="1:38" s="1807" customFormat="1" ht="15" customHeight="1">
      <c r="U24" s="103"/>
    </row>
    <row r="25" spans="1:38" s="1773" customFormat="1" ht="15" customHeight="1">
      <c r="A25"/>
      <c r="B25"/>
      <c r="C25" s="94"/>
      <c r="D25" s="1741"/>
      <c r="E25" s="1741"/>
      <c r="F25" s="1741"/>
      <c r="G25" s="2034" t="s">
        <v>121</v>
      </c>
      <c r="H25" s="1855">
        <v>1</v>
      </c>
      <c r="I25" s="2035" t="str">
        <f>IF(U25="","",INDEX(TERRITORY_MR_LIST,MATCH(U25,TERRITORY_LIST_ID,0)))</f>
        <v/>
      </c>
      <c r="J25" s="1885" t="s">
        <v>57</v>
      </c>
      <c r="K25" s="745"/>
      <c r="L25" s="1702" t="s">
        <v>109</v>
      </c>
      <c r="M25" s="521"/>
      <c r="N25" s="522"/>
      <c r="O25" s="522"/>
      <c r="P25" s="522"/>
      <c r="Q25" s="522"/>
      <c r="R25" s="522"/>
      <c r="S25" s="522"/>
      <c r="T25" s="522"/>
      <c r="U25" s="523"/>
      <c r="V25" s="522"/>
      <c r="W25" s="522"/>
      <c r="X25" s="514"/>
      <c r="Y25" s="514" t="s">
        <v>120</v>
      </c>
      <c r="Z25" s="514">
        <v>1705000</v>
      </c>
      <c r="AA25" s="514"/>
      <c r="AB25" s="514"/>
      <c r="AC25" s="514"/>
      <c r="AD25" s="514"/>
      <c r="AE25" s="514"/>
      <c r="AF25" s="514"/>
      <c r="AG25" s="514"/>
      <c r="AH25" s="514"/>
      <c r="AI25" s="514"/>
      <c r="AJ25" s="514"/>
      <c r="AK25" s="514"/>
      <c r="AL25" s="514"/>
    </row>
    <row r="26" spans="1:38" s="1773" customFormat="1" ht="15" customHeight="1">
      <c r="A26"/>
      <c r="B26"/>
      <c r="C26" s="94"/>
      <c r="D26" s="1741"/>
      <c r="E26" s="1741"/>
      <c r="F26" s="1741"/>
      <c r="G26" s="2034"/>
      <c r="H26" s="1855"/>
      <c r="I26" s="2035"/>
      <c r="J26" s="1885"/>
      <c r="K26" s="350"/>
      <c r="L26" s="95"/>
      <c r="M26" s="524" t="s">
        <v>124</v>
      </c>
      <c r="N26" s="522"/>
      <c r="O26" s="522"/>
      <c r="P26" s="522"/>
      <c r="Q26" s="522"/>
      <c r="R26" s="522"/>
      <c r="S26" s="522"/>
      <c r="T26" s="522"/>
      <c r="U26" s="523"/>
      <c r="V26" s="522"/>
      <c r="W26" s="522"/>
      <c r="X26" s="514"/>
      <c r="Y26" s="514"/>
      <c r="Z26" s="514"/>
      <c r="AA26" s="514"/>
      <c r="AB26" s="514"/>
      <c r="AC26" s="514"/>
      <c r="AD26" s="514"/>
      <c r="AE26" s="514"/>
      <c r="AF26" s="514"/>
      <c r="AG26" s="514"/>
      <c r="AH26" s="514"/>
      <c r="AI26" s="514"/>
      <c r="AJ26" s="514"/>
      <c r="AK26" s="514"/>
      <c r="AL26" s="514"/>
    </row>
    <row r="27" spans="1:38" s="1807" customFormat="1" ht="15" customHeight="1">
      <c r="U27" s="103"/>
    </row>
    <row r="28" spans="1:38" s="1807" customFormat="1" ht="15" customHeight="1">
      <c r="A28" s="1736" t="s">
        <v>394</v>
      </c>
      <c r="B28" s="1736"/>
      <c r="C28" s="1736"/>
      <c r="D28" s="1736"/>
      <c r="E28" s="1736"/>
      <c r="F28" s="1736"/>
      <c r="G28" s="1736"/>
      <c r="H28" s="1736"/>
      <c r="I28" s="1736"/>
      <c r="J28" s="1736"/>
      <c r="K28" s="1736"/>
      <c r="L28" s="1736"/>
      <c r="M28" s="1736"/>
      <c r="N28" s="1736"/>
      <c r="O28" s="1736"/>
      <c r="P28" s="1736"/>
      <c r="Q28" s="1736"/>
      <c r="R28" s="1736"/>
      <c r="S28" s="1736"/>
      <c r="T28" s="1736"/>
      <c r="U28" s="102"/>
      <c r="V28" s="1736"/>
      <c r="W28" s="1736"/>
    </row>
    <row r="29" spans="1:38" s="1807" customFormat="1" ht="15" customHeight="1">
      <c r="U29" s="103"/>
    </row>
    <row r="30" spans="1:38" s="1773" customFormat="1" ht="15" customHeight="1">
      <c r="A30"/>
      <c r="B30"/>
      <c r="C30" s="94"/>
      <c r="D30" s="1741"/>
      <c r="E30" s="1741"/>
      <c r="F30" s="1741"/>
      <c r="G30" s="1741"/>
      <c r="H30" s="1741"/>
      <c r="I30" s="1741"/>
      <c r="J30" s="1741"/>
      <c r="K30" s="1720" t="s">
        <v>121</v>
      </c>
      <c r="L30" s="1645" t="s">
        <v>109</v>
      </c>
      <c r="M30" s="724"/>
      <c r="N30" s="725"/>
      <c r="O30" s="522"/>
      <c r="P30" s="522"/>
      <c r="Q30" s="522"/>
      <c r="R30" s="522"/>
      <c r="S30" s="522"/>
      <c r="T30" s="522"/>
      <c r="U30" s="523"/>
      <c r="V30" s="522"/>
      <c r="W30" s="522"/>
      <c r="X30" s="514"/>
      <c r="Y30" s="514" t="s">
        <v>120</v>
      </c>
      <c r="Z30" s="514">
        <v>1705000</v>
      </c>
      <c r="AA30" s="514"/>
      <c r="AB30" s="514"/>
      <c r="AC30" s="514"/>
      <c r="AD30" s="514"/>
      <c r="AE30" s="514"/>
      <c r="AF30" s="514"/>
      <c r="AG30" s="514"/>
      <c r="AH30" s="514"/>
      <c r="AI30" s="514"/>
      <c r="AJ30" s="514"/>
      <c r="AK30" s="514"/>
      <c r="AL30" s="514"/>
    </row>
    <row r="31" spans="1:38" s="1807" customFormat="1" ht="15" customHeight="1">
      <c r="U31" s="103"/>
    </row>
    <row r="32" spans="1:38" s="1807" customFormat="1" ht="15" customHeight="1">
      <c r="U32" s="103"/>
    </row>
    <row r="33" spans="1:45" s="1736" customFormat="1" ht="11.25" customHeight="1">
      <c r="A33" s="1736" t="s">
        <v>395</v>
      </c>
    </row>
    <row r="34" spans="1:45" ht="11.25" customHeight="1"/>
    <row r="35" spans="1:45" s="381" customFormat="1" ht="22.5" customHeight="1">
      <c r="A35" s="1711"/>
      <c r="B35" s="383"/>
      <c r="C35" s="772"/>
      <c r="D35" s="368"/>
      <c r="E35" s="773"/>
      <c r="F35" s="1733"/>
      <c r="G35" s="1742"/>
      <c r="H35" s="401"/>
    </row>
    <row r="36" spans="1:45" ht="11.25" customHeight="1"/>
    <row r="37" spans="1:45" s="1736" customFormat="1" ht="11.25" customHeight="1">
      <c r="A37" s="1736" t="s">
        <v>396</v>
      </c>
    </row>
    <row r="38" spans="1:45" ht="11.25" customHeight="1"/>
    <row r="39" spans="1:45" s="381" customFormat="1" ht="22.5" customHeight="1">
      <c r="A39" s="383"/>
      <c r="B39" s="383"/>
      <c r="C39" s="383"/>
      <c r="D39" s="368"/>
      <c r="E39" s="773"/>
      <c r="F39" s="774"/>
      <c r="G39" s="1742"/>
      <c r="H39" s="401"/>
    </row>
    <row r="42" spans="1:45" s="1736" customFormat="1" ht="17.25" customHeight="1">
      <c r="A42" s="1736" t="s">
        <v>397</v>
      </c>
    </row>
    <row r="44" spans="1:45" s="1530" customFormat="1" ht="18.75" customHeight="1">
      <c r="A44"/>
      <c r="B44" s="1743"/>
      <c r="C44" s="1743"/>
      <c r="D44" s="1744"/>
      <c r="E44" s="1730"/>
      <c r="F44" s="781">
        <v>13</v>
      </c>
      <c r="G44" s="780"/>
      <c r="H44" s="706"/>
      <c r="I44" s="704"/>
      <c r="J44" s="446" t="s">
        <v>59</v>
      </c>
      <c r="K44" s="1745" t="s">
        <v>18</v>
      </c>
      <c r="L44"/>
      <c r="M44" s="1553"/>
      <c r="N44" s="1553"/>
      <c r="O44" s="1553"/>
      <c r="P44" s="442" t="s">
        <v>385</v>
      </c>
      <c r="Q44" s="442" t="s">
        <v>386</v>
      </c>
      <c r="R44" s="443" t="s">
        <v>387</v>
      </c>
      <c r="S44" s="1553" t="s">
        <v>388</v>
      </c>
      <c r="T44" s="1553"/>
      <c r="U44" s="1553"/>
      <c r="V44" s="1553"/>
    </row>
    <row r="46" spans="1:45" s="1736" customFormat="1" ht="11.25" customHeight="1">
      <c r="A46" s="1736" t="s">
        <v>398</v>
      </c>
    </row>
    <row r="48" spans="1:45" s="1552" customFormat="1" ht="15" customHeight="1">
      <c r="C48" s="1746"/>
      <c r="D48" s="362"/>
      <c r="E48" s="795"/>
      <c r="F48" s="768"/>
      <c r="G48" s="769"/>
      <c r="H48" s="1698"/>
      <c r="I48" s="1698"/>
      <c r="J48" s="361"/>
      <c r="K48" s="360"/>
      <c r="L48" s="359"/>
      <c r="M48" s="360"/>
      <c r="N48" s="361"/>
      <c r="O48" s="360"/>
      <c r="P48" s="361"/>
      <c r="Q48" s="360"/>
      <c r="R48" s="361"/>
      <c r="S48" s="767"/>
      <c r="T48" s="1698"/>
      <c r="U48" s="361"/>
      <c r="V48" s="361"/>
      <c r="W48" s="1781"/>
      <c r="X48" s="1698"/>
      <c r="Y48" s="361"/>
      <c r="Z48" s="361"/>
      <c r="AA48" s="1781"/>
      <c r="AB48" s="1698"/>
      <c r="AC48" s="361"/>
      <c r="AD48" s="1712"/>
      <c r="AE48"/>
      <c r="AF48"/>
      <c r="AG48"/>
      <c r="AH48"/>
      <c r="AJ48" s="1553"/>
      <c r="AK48" s="1553"/>
      <c r="AL48" s="1553"/>
      <c r="AM48" s="1553"/>
      <c r="AN48" s="1553"/>
      <c r="AO48" s="1553"/>
      <c r="AP48" s="1541" t="s">
        <v>374</v>
      </c>
      <c r="AQ48" s="1541" t="s">
        <v>374</v>
      </c>
      <c r="AR48" s="1553"/>
      <c r="AS48" s="1553"/>
    </row>
    <row r="50" spans="1:30" s="1736" customFormat="1" ht="11.25" customHeight="1">
      <c r="A50" s="1736" t="s">
        <v>399</v>
      </c>
    </row>
    <row r="52" spans="1:30" s="1743" customFormat="1" ht="15" customHeight="1">
      <c r="A52" s="65" t="s">
        <v>90</v>
      </c>
      <c r="B52" s="48" t="s">
        <v>18</v>
      </c>
      <c r="C52" s="1747"/>
      <c r="D52" s="51"/>
      <c r="E52" s="310"/>
      <c r="F52" s="310"/>
      <c r="G52" s="1724"/>
      <c r="H52" s="1745"/>
      <c r="I52" s="1725"/>
      <c r="K52" s="187"/>
      <c r="L52" s="188"/>
    </row>
    <row r="54" spans="1:30" s="1736" customFormat="1" ht="11.25" customHeight="1">
      <c r="A54" s="1736" t="s">
        <v>400</v>
      </c>
    </row>
    <row r="56" spans="1:30" s="1552" customFormat="1" ht="14.25" customHeight="1">
      <c r="A56" s="264"/>
      <c r="B56" s="1062"/>
      <c r="C56" s="300"/>
      <c r="D56" s="1731"/>
      <c r="E56" s="800"/>
      <c r="F56" s="1745"/>
      <c r="G56"/>
      <c r="I56" s="1541"/>
      <c r="J56" s="1541"/>
    </row>
    <row r="58" spans="1:30" s="1736" customFormat="1" ht="11.25" customHeight="1">
      <c r="A58" s="1736" t="s">
        <v>401</v>
      </c>
    </row>
    <row r="60" spans="1:30" s="1552" customFormat="1" ht="27" customHeight="1">
      <c r="A60" s="1068"/>
      <c r="B60" s="1068"/>
      <c r="C60" s="1068"/>
      <c r="D60" s="1062"/>
      <c r="E60" s="1748"/>
      <c r="F60" s="1986"/>
      <c r="G60" s="1987"/>
      <c r="H60" s="1988" t="s">
        <v>59</v>
      </c>
      <c r="I60" s="1990"/>
      <c r="J60" s="1992"/>
      <c r="K60" s="1994"/>
      <c r="L60" s="1997"/>
      <c r="M60" s="1997"/>
      <c r="N60" s="2038"/>
      <c r="O60" s="2038"/>
      <c r="P60" s="2039" t="e">
        <f>DATEDIF(DATEVALUE(N60),DATEVALUE(O60),"y")&amp;"г. "&amp;DATEDIF(DATEVALUE(N60),DATEVALUE(O60),"ym")&amp;"мес. "&amp;DATEVALUE(O60)-DATE(YEAR(DATEVALUE(O60)),MONTH(DATEVALUE(O60)),1)&amp;"дн. "</f>
        <v>#VALUE!</v>
      </c>
      <c r="Q60" s="1999"/>
      <c r="R60" s="1999"/>
      <c r="S60" s="1999"/>
      <c r="T60" s="1992"/>
      <c r="U60" s="1999"/>
      <c r="V60" s="1999"/>
      <c r="W60" s="1999"/>
      <c r="X60" s="1992"/>
      <c r="Y60" s="2036" t="s">
        <v>59</v>
      </c>
      <c r="Z60" s="1729"/>
      <c r="AA60" s="1713">
        <v>1</v>
      </c>
      <c r="AB60" s="1153"/>
      <c r="AD60" s="1553" t="s">
        <v>402</v>
      </c>
    </row>
    <row r="61" spans="1:30" s="1552" customFormat="1" ht="10.5" customHeight="1">
      <c r="A61" s="1068"/>
      <c r="B61" s="1068"/>
      <c r="C61" s="1068"/>
      <c r="D61" s="1062"/>
      <c r="E61" s="859"/>
      <c r="F61" s="1986"/>
      <c r="G61" s="1987"/>
      <c r="H61" s="1989"/>
      <c r="I61" s="1991"/>
      <c r="J61" s="1993"/>
      <c r="K61" s="1994"/>
      <c r="L61" s="1997"/>
      <c r="M61" s="1997"/>
      <c r="N61" s="2038"/>
      <c r="O61" s="2038"/>
      <c r="P61" s="2039"/>
      <c r="Q61" s="1999"/>
      <c r="R61" s="1999"/>
      <c r="S61" s="1999"/>
      <c r="T61" s="1993"/>
      <c r="U61" s="1999"/>
      <c r="V61" s="1999"/>
      <c r="W61" s="1999"/>
      <c r="X61" s="1993"/>
      <c r="Y61" s="2037"/>
      <c r="Z61" s="268"/>
      <c r="AA61" s="493"/>
      <c r="AB61" s="568" t="s">
        <v>403</v>
      </c>
    </row>
    <row r="63" spans="1:30" s="1736" customFormat="1" ht="11.25" customHeight="1">
      <c r="A63" s="1736" t="s">
        <v>404</v>
      </c>
    </row>
    <row r="65" spans="1:58" s="1552" customFormat="1" ht="27" customHeight="1">
      <c r="A65" s="1068"/>
      <c r="B65" s="1068"/>
      <c r="C65" s="1068"/>
      <c r="D65" s="1062"/>
      <c r="E65" s="1748"/>
      <c r="F65" s="1718"/>
      <c r="G65" s="1663"/>
      <c r="H65" s="1664"/>
      <c r="I65" s="1665"/>
      <c r="J65" s="1666"/>
      <c r="K65" s="1667"/>
      <c r="L65" s="1668"/>
      <c r="M65" s="1668"/>
      <c r="N65" s="1669"/>
      <c r="O65" s="1669"/>
      <c r="P65" s="1670"/>
      <c r="Q65" s="1671"/>
      <c r="R65" s="1671"/>
      <c r="S65" s="1671"/>
      <c r="T65" s="1666"/>
      <c r="U65" s="1671"/>
      <c r="V65" s="1671"/>
      <c r="W65" s="1671"/>
      <c r="X65" s="1666"/>
      <c r="Y65" s="1664"/>
      <c r="Z65" s="1729"/>
      <c r="AA65" s="1713">
        <v>1</v>
      </c>
      <c r="AB65" s="1153"/>
      <c r="AD65" s="1553" t="s">
        <v>402</v>
      </c>
    </row>
    <row r="67" spans="1:58" s="1736" customFormat="1" ht="11.25" customHeight="1">
      <c r="A67" s="1736" t="s">
        <v>405</v>
      </c>
    </row>
    <row r="68" spans="1:58" ht="17.25" customHeight="1"/>
    <row r="69" spans="1:58" s="1552" customFormat="1" ht="21" customHeight="1">
      <c r="A69" s="1069"/>
      <c r="B69" s="1068"/>
      <c r="C69" s="1068"/>
      <c r="D69" s="1062"/>
      <c r="E69" s="1072"/>
      <c r="F69" s="1027" t="e">
        <f>INDEX(IP_MAIN_LIST_NAME_IP,MATCH(A69,IP_MAIN_LIST_IP_ID,0))&amp;" ("&amp;INDEX(IP_MAIN_START_DATE,MATCH(A69,IP_MAIN_LIST_IP_ID,0))&amp;"-"&amp;INDEX(IP_MAIN_END_DATE,MATCH(A69,IP_MAIN_LIST_IP_ID,0))&amp;")"</f>
        <v>#N/A</v>
      </c>
      <c r="G69" s="1028"/>
      <c r="H69" s="1028"/>
      <c r="I69" s="1089"/>
      <c r="J69" s="1089"/>
      <c r="K69" s="1090"/>
      <c r="L69" s="1090"/>
      <c r="M69" s="1090"/>
      <c r="N69" s="1091"/>
      <c r="O69" s="1091"/>
      <c r="P69" s="1091"/>
      <c r="Q69" s="1091"/>
      <c r="R69" s="1091"/>
      <c r="S69" s="1091"/>
      <c r="T69" s="1091"/>
      <c r="U69" s="1091"/>
      <c r="V69" s="1091"/>
      <c r="W69" s="1091"/>
      <c r="X69" s="1091"/>
      <c r="Y69" s="1091"/>
      <c r="Z69" s="1091"/>
      <c r="AA69" s="1091"/>
      <c r="AB69" s="1091"/>
      <c r="AC69" s="1091"/>
      <c r="AD69" s="1091"/>
      <c r="AE69" s="1092"/>
      <c r="AF69" s="1090"/>
      <c r="AG69" s="1090"/>
      <c r="AH69" s="1090"/>
      <c r="AI69" s="1090"/>
      <c r="AJ69" s="1090"/>
      <c r="AK69" s="1090"/>
      <c r="AL69" s="1073"/>
      <c r="AM69" s="1743"/>
      <c r="AN69" s="1743"/>
      <c r="AO69" s="1743"/>
      <c r="AP69" s="1743"/>
      <c r="AQ69" s="1743"/>
      <c r="AR69" s="1743"/>
      <c r="AS69" s="1743"/>
      <c r="AT69" s="1743"/>
      <c r="AU69" s="1743"/>
      <c r="AV69" s="1743"/>
      <c r="AW69" s="1743"/>
      <c r="AX69" s="1743"/>
      <c r="AY69" s="1743"/>
      <c r="AZ69" s="1743"/>
      <c r="BA69" s="1743"/>
      <c r="BB69" s="1743"/>
      <c r="BC69" s="1743"/>
      <c r="BD69" s="1743"/>
      <c r="BE69" s="1743"/>
      <c r="BF69" s="1743"/>
    </row>
    <row r="70" spans="1:58" s="1552" customFormat="1" ht="11.25" customHeight="1">
      <c r="A70" s="1068"/>
      <c r="B70" s="1068"/>
      <c r="C70" s="1068"/>
      <c r="D70" s="1062"/>
      <c r="E70" s="1072"/>
      <c r="F70" s="2042"/>
      <c r="G70" s="1998"/>
      <c r="H70" s="1998" t="s">
        <v>109</v>
      </c>
      <c r="I70" s="2046"/>
      <c r="J70" s="2047"/>
      <c r="K70" s="2048"/>
      <c r="L70" s="2040" t="s">
        <v>57</v>
      </c>
      <c r="M70" s="1886"/>
      <c r="N70" s="1081"/>
      <c r="O70" s="1080" t="s">
        <v>369</v>
      </c>
      <c r="P70" s="1081"/>
      <c r="Q70" s="1081"/>
      <c r="R70" s="1081"/>
      <c r="S70" s="1081"/>
      <c r="T70" s="1081"/>
      <c r="U70" s="1081"/>
      <c r="V70" s="1081"/>
      <c r="W70" s="1081"/>
      <c r="X70" s="1081"/>
      <c r="Y70" s="1081"/>
      <c r="Z70" s="1081"/>
      <c r="AA70" s="1081"/>
      <c r="AB70" s="1081"/>
      <c r="AC70" s="1081"/>
      <c r="AD70" s="1081"/>
      <c r="AE70" s="1081"/>
      <c r="AF70" s="2044"/>
      <c r="AG70" s="2040"/>
      <c r="AH70" s="2040"/>
      <c r="AI70" s="2044"/>
      <c r="AJ70" s="2040"/>
      <c r="AK70" s="2040"/>
      <c r="AL70" s="1075"/>
      <c r="AM70" s="1743"/>
      <c r="AN70" s="1743"/>
      <c r="AO70" s="1743"/>
      <c r="AP70" s="1743"/>
      <c r="AQ70" s="1743"/>
      <c r="AR70" s="1743"/>
      <c r="AS70" s="1743"/>
      <c r="AT70" s="1743"/>
      <c r="AU70" s="1743"/>
      <c r="AV70" s="1743"/>
      <c r="AW70" s="1743"/>
      <c r="AX70" s="1743"/>
      <c r="AY70" s="1743"/>
      <c r="AZ70" s="1743"/>
      <c r="BA70" s="1743"/>
      <c r="BB70" s="1743"/>
      <c r="BC70" s="1743"/>
      <c r="BD70" s="1743"/>
      <c r="BE70" s="1743"/>
      <c r="BF70" s="1743"/>
    </row>
    <row r="71" spans="1:58" s="1552" customFormat="1" ht="11.25" customHeight="1">
      <c r="A71" s="1068"/>
      <c r="B71" s="1068"/>
      <c r="C71" s="1068"/>
      <c r="D71" s="1062"/>
      <c r="E71" s="1072"/>
      <c r="F71" s="2042"/>
      <c r="G71" s="1998"/>
      <c r="H71" s="1998"/>
      <c r="I71" s="2046"/>
      <c r="J71" s="2047"/>
      <c r="K71" s="2048"/>
      <c r="L71" s="2040"/>
      <c r="M71" s="1886"/>
      <c r="N71" s="2049"/>
      <c r="O71" s="2015">
        <v>1</v>
      </c>
      <c r="P71" s="2010" t="s">
        <v>57</v>
      </c>
      <c r="Q71" s="2013" t="s">
        <v>18</v>
      </c>
      <c r="R71" s="2013" t="s">
        <v>18</v>
      </c>
      <c r="S71" s="2013" t="s">
        <v>18</v>
      </c>
      <c r="T71" s="2013" t="s">
        <v>18</v>
      </c>
      <c r="U71" s="2013" t="s">
        <v>18</v>
      </c>
      <c r="V71" s="2013" t="s">
        <v>18</v>
      </c>
      <c r="W71" s="2013" t="s">
        <v>18</v>
      </c>
      <c r="X71" s="2013" t="s">
        <v>18</v>
      </c>
      <c r="Y71" s="2013"/>
      <c r="Z71" s="1078"/>
      <c r="AA71" s="1079"/>
      <c r="AB71" s="1079"/>
      <c r="AC71" s="1083"/>
      <c r="AD71" s="1083"/>
      <c r="AE71" s="1084"/>
      <c r="AF71" s="2044"/>
      <c r="AG71" s="2040"/>
      <c r="AH71" s="2040"/>
      <c r="AI71" s="2044"/>
      <c r="AJ71" s="2040"/>
      <c r="AK71" s="2040"/>
      <c r="AL71" s="1075"/>
      <c r="AM71" s="1743"/>
      <c r="AN71" s="1743"/>
      <c r="AO71" s="1743"/>
      <c r="AP71" s="1743"/>
      <c r="AQ71" s="1743"/>
      <c r="AR71" s="1743"/>
      <c r="AS71" s="1743"/>
      <c r="AT71" s="1743"/>
      <c r="AU71" s="1743"/>
      <c r="AV71" s="1743"/>
      <c r="AW71" s="1743"/>
      <c r="AX71" s="1743"/>
      <c r="AY71" s="1743"/>
      <c r="AZ71" s="1743"/>
      <c r="BA71" s="1743"/>
      <c r="BB71" s="1743"/>
      <c r="BC71" s="1743"/>
      <c r="BD71" s="1743"/>
      <c r="BE71" s="1743"/>
      <c r="BF71" s="1743"/>
    </row>
    <row r="72" spans="1:58" s="1552" customFormat="1" ht="11.25" customHeight="1">
      <c r="A72" s="1068"/>
      <c r="B72" s="1068"/>
      <c r="C72" s="1068"/>
      <c r="D72" s="1062"/>
      <c r="E72" s="1072"/>
      <c r="F72" s="2042"/>
      <c r="G72" s="1998"/>
      <c r="H72" s="1998"/>
      <c r="I72" s="2046"/>
      <c r="J72" s="2047"/>
      <c r="K72" s="2048"/>
      <c r="L72" s="2040"/>
      <c r="M72" s="1886"/>
      <c r="N72" s="2049"/>
      <c r="O72" s="2015"/>
      <c r="P72" s="2011"/>
      <c r="Q72" s="2013"/>
      <c r="R72" s="2013"/>
      <c r="S72" s="2045"/>
      <c r="T72" s="2013"/>
      <c r="U72" s="2013"/>
      <c r="V72" s="2013"/>
      <c r="W72" s="2013"/>
      <c r="X72" s="2013"/>
      <c r="Y72" s="2013"/>
      <c r="Z72" s="1749"/>
      <c r="AA72" s="1715">
        <v>1</v>
      </c>
      <c r="AB72" s="1082"/>
      <c r="AC72" s="1071"/>
      <c r="AD72" s="1082">
        <f>AB72</f>
        <v>0</v>
      </c>
      <c r="AE72" s="1071"/>
      <c r="AF72" s="2044"/>
      <c r="AG72" s="2040"/>
      <c r="AH72" s="2040"/>
      <c r="AI72" s="2044"/>
      <c r="AJ72" s="2040"/>
      <c r="AK72" s="2040"/>
      <c r="AL72" s="1075"/>
      <c r="AM72" s="1743"/>
      <c r="AN72" s="1743"/>
      <c r="AO72" s="1743"/>
      <c r="AP72" s="1743"/>
      <c r="AQ72" s="1743"/>
      <c r="AR72" s="1743"/>
      <c r="AS72" s="1743"/>
      <c r="AT72" s="1743"/>
      <c r="AU72" s="1743"/>
      <c r="AV72" s="1743"/>
      <c r="AW72" s="1743"/>
      <c r="AX72" s="1743"/>
      <c r="AY72" s="1743"/>
      <c r="AZ72" s="1743"/>
      <c r="BA72" s="1743"/>
      <c r="BB72" s="1743"/>
      <c r="BC72" s="1743"/>
      <c r="BD72" s="1743"/>
      <c r="BE72" s="1743"/>
      <c r="BF72" s="1743"/>
    </row>
    <row r="73" spans="1:58" s="1552" customFormat="1" ht="11.25" customHeight="1">
      <c r="A73" s="1068"/>
      <c r="B73" s="1068"/>
      <c r="C73" s="1068"/>
      <c r="D73" s="1062"/>
      <c r="E73" s="1072"/>
      <c r="F73" s="2042"/>
      <c r="G73" s="1998"/>
      <c r="H73" s="1998"/>
      <c r="I73" s="2046"/>
      <c r="J73" s="2047"/>
      <c r="K73" s="2048"/>
      <c r="L73" s="2040"/>
      <c r="M73" s="1886"/>
      <c r="N73" s="2049"/>
      <c r="O73" s="2015"/>
      <c r="P73" s="2012"/>
      <c r="Q73" s="2013"/>
      <c r="R73" s="2013"/>
      <c r="S73" s="2045"/>
      <c r="T73" s="2013"/>
      <c r="U73" s="2013"/>
      <c r="V73" s="2013"/>
      <c r="W73" s="2013"/>
      <c r="X73" s="2013"/>
      <c r="Y73" s="2013"/>
      <c r="Z73" s="1078"/>
      <c r="AA73" s="1079"/>
      <c r="AB73" s="1152" t="s">
        <v>406</v>
      </c>
      <c r="AC73" s="1083"/>
      <c r="AD73" s="1083"/>
      <c r="AE73" s="1085"/>
      <c r="AF73" s="2044"/>
      <c r="AG73" s="2040"/>
      <c r="AH73" s="2040"/>
      <c r="AI73" s="2044"/>
      <c r="AJ73" s="2040"/>
      <c r="AK73" s="2040"/>
      <c r="AL73" s="1075"/>
      <c r="AM73" s="1743"/>
      <c r="AN73" s="1743"/>
      <c r="AO73" s="1743"/>
      <c r="AP73" s="1743"/>
      <c r="AQ73" s="1743"/>
      <c r="AR73" s="1743"/>
      <c r="AS73" s="1743"/>
      <c r="AT73" s="1743"/>
      <c r="AU73" s="1743"/>
      <c r="AV73" s="1743"/>
      <c r="AW73" s="1743"/>
      <c r="AX73" s="1743"/>
      <c r="AY73" s="1743"/>
      <c r="AZ73" s="1743"/>
      <c r="BA73" s="1743"/>
      <c r="BB73" s="1743"/>
      <c r="BC73" s="1743"/>
      <c r="BD73" s="1743"/>
      <c r="BE73" s="1743"/>
      <c r="BF73" s="1743"/>
    </row>
    <row r="74" spans="1:58" s="1552" customFormat="1" ht="11.25" customHeight="1">
      <c r="A74" s="1068"/>
      <c r="B74" s="1068"/>
      <c r="C74" s="1068"/>
      <c r="D74" s="1062"/>
      <c r="E74" s="1072"/>
      <c r="F74" s="2042"/>
      <c r="G74" s="1998"/>
      <c r="H74" s="1998"/>
      <c r="I74" s="2046"/>
      <c r="J74" s="2047"/>
      <c r="K74" s="2048"/>
      <c r="L74" s="2040"/>
      <c r="M74" s="1886"/>
      <c r="N74" s="1079"/>
      <c r="O74" s="1079"/>
      <c r="P74" s="1070" t="s">
        <v>407</v>
      </c>
      <c r="Q74" s="1079"/>
      <c r="R74" s="1079"/>
      <c r="S74" s="1079"/>
      <c r="T74" s="1079"/>
      <c r="U74" s="1079"/>
      <c r="V74" s="1079"/>
      <c r="W74" s="1079"/>
      <c r="X74" s="1079"/>
      <c r="Y74" s="1079"/>
      <c r="Z74" s="1079"/>
      <c r="AA74" s="1079"/>
      <c r="AB74" s="1079"/>
      <c r="AC74" s="1079"/>
      <c r="AD74" s="1079"/>
      <c r="AE74" s="1086"/>
      <c r="AF74" s="2044"/>
      <c r="AG74" s="2040"/>
      <c r="AH74" s="2040"/>
      <c r="AI74" s="2044"/>
      <c r="AJ74" s="2040"/>
      <c r="AK74" s="2040"/>
      <c r="AL74" s="1075"/>
      <c r="AM74" s="1743"/>
      <c r="AN74" s="1743"/>
      <c r="AO74" s="1743"/>
      <c r="AP74" s="1743"/>
      <c r="AQ74" s="1743"/>
      <c r="AR74" s="1743"/>
      <c r="AS74" s="1743"/>
      <c r="AT74" s="1743"/>
      <c r="AU74" s="1743"/>
      <c r="AV74" s="1743"/>
      <c r="AW74" s="1743"/>
      <c r="AX74" s="1743"/>
      <c r="AY74" s="1743"/>
      <c r="AZ74" s="1743"/>
      <c r="BA74" s="1743"/>
      <c r="BB74" s="1743"/>
      <c r="BC74" s="1743"/>
      <c r="BD74" s="1743"/>
      <c r="BE74" s="1743"/>
      <c r="BF74" s="1743"/>
    </row>
    <row r="75" spans="1:58" s="1552" customFormat="1" ht="12" customHeight="1">
      <c r="A75" s="1068"/>
      <c r="B75" s="1068"/>
      <c r="C75" s="1068"/>
      <c r="D75" s="1062"/>
      <c r="E75" s="1072"/>
      <c r="F75" s="2043"/>
      <c r="G75" s="1094"/>
      <c r="H75" s="1094"/>
      <c r="I75" s="2041" t="s">
        <v>408</v>
      </c>
      <c r="J75" s="2041"/>
      <c r="K75" s="2041"/>
      <c r="L75" s="1076"/>
      <c r="M75" s="1076"/>
      <c r="N75" s="1077"/>
      <c r="O75" s="1077"/>
      <c r="P75" s="1077"/>
      <c r="Q75" s="1077"/>
      <c r="R75" s="1077"/>
      <c r="S75" s="1077"/>
      <c r="T75" s="1077"/>
      <c r="U75" s="1077"/>
      <c r="V75" s="1077"/>
      <c r="W75" s="1077"/>
      <c r="X75" s="1077"/>
      <c r="Y75" s="1077"/>
      <c r="Z75" s="1077"/>
      <c r="AA75" s="1077"/>
      <c r="AB75" s="1077"/>
      <c r="AC75" s="1077"/>
      <c r="AD75" s="1077"/>
      <c r="AE75" s="1077"/>
      <c r="AF75" s="1077"/>
      <c r="AG75" s="1076"/>
      <c r="AH75" s="1076"/>
      <c r="AI75" s="1077"/>
      <c r="AJ75" s="1076"/>
      <c r="AK75" s="1087"/>
      <c r="AL75" s="1075"/>
      <c r="AM75" s="1743"/>
      <c r="AN75" s="1743"/>
      <c r="AO75" s="1743"/>
      <c r="AP75" s="1743"/>
      <c r="AQ75" s="1743"/>
      <c r="AR75" s="1743"/>
      <c r="AS75" s="1743"/>
      <c r="AT75" s="1743"/>
      <c r="AU75" s="1743"/>
      <c r="AV75" s="1743"/>
      <c r="AW75" s="1743"/>
      <c r="AX75" s="1743"/>
      <c r="AY75" s="1743"/>
      <c r="AZ75" s="1743"/>
      <c r="BA75" s="1743"/>
      <c r="BB75" s="1743"/>
      <c r="BC75" s="1743"/>
      <c r="BD75" s="1743"/>
      <c r="BE75" s="1743"/>
      <c r="BF75" s="1743"/>
    </row>
    <row r="77" spans="1:58" s="1736" customFormat="1" ht="11.25" customHeight="1">
      <c r="A77" s="1736" t="s">
        <v>409</v>
      </c>
    </row>
    <row r="79" spans="1:58" s="1552" customFormat="1" ht="11.25" customHeight="1">
      <c r="A79" s="1068"/>
      <c r="B79" s="1068"/>
      <c r="C79" s="1068"/>
      <c r="D79" s="1062"/>
      <c r="E79" s="1072"/>
      <c r="F79" s="1750"/>
      <c r="G79" s="1751"/>
      <c r="H79" s="1751"/>
      <c r="I79" s="1680"/>
      <c r="J79" s="1680"/>
      <c r="K79" s="1752"/>
      <c r="L79" s="1680"/>
      <c r="M79" s="1751"/>
      <c r="N79" s="2014"/>
      <c r="O79" s="2015">
        <v>1</v>
      </c>
      <c r="P79" s="2010" t="s">
        <v>57</v>
      </c>
      <c r="Q79" s="2013" t="s">
        <v>18</v>
      </c>
      <c r="R79" s="2013" t="s">
        <v>18</v>
      </c>
      <c r="S79" s="2013" t="s">
        <v>18</v>
      </c>
      <c r="T79" s="2013" t="s">
        <v>18</v>
      </c>
      <c r="U79" s="2013" t="s">
        <v>18</v>
      </c>
      <c r="V79" s="2013" t="s">
        <v>18</v>
      </c>
      <c r="W79" s="2013" t="s">
        <v>18</v>
      </c>
      <c r="X79" s="2013" t="s">
        <v>18</v>
      </c>
      <c r="Y79" s="2013"/>
      <c r="Z79" s="1078"/>
      <c r="AA79" s="1079"/>
      <c r="AB79" s="1079"/>
      <c r="AC79" s="1083"/>
      <c r="AD79" s="1083"/>
      <c r="AE79" s="1083"/>
      <c r="AF79" s="1753"/>
      <c r="AG79" s="1675"/>
      <c r="AH79" s="1675"/>
      <c r="AI79" s="1753"/>
      <c r="AJ79" s="1675"/>
      <c r="AK79" s="1675"/>
      <c r="AL79" s="1075"/>
      <c r="AM79" s="1743"/>
      <c r="AN79" s="1743"/>
      <c r="AO79" s="1743"/>
      <c r="AP79" s="1743"/>
      <c r="AQ79" s="1743"/>
      <c r="AR79" s="1743"/>
      <c r="AS79" s="1743"/>
      <c r="AT79" s="1743"/>
      <c r="AU79" s="1743"/>
      <c r="AV79" s="1743"/>
      <c r="AW79" s="1743"/>
      <c r="AX79" s="1743"/>
      <c r="AY79" s="1743"/>
      <c r="AZ79" s="1743"/>
      <c r="BA79" s="1743"/>
      <c r="BB79" s="1743"/>
      <c r="BC79" s="1743"/>
      <c r="BD79" s="1743"/>
      <c r="BE79" s="1743"/>
      <c r="BF79" s="1743"/>
    </row>
    <row r="80" spans="1:58" s="1552" customFormat="1" ht="11.25" customHeight="1">
      <c r="A80" s="1068"/>
      <c r="B80" s="1068"/>
      <c r="C80" s="1068"/>
      <c r="D80" s="1062"/>
      <c r="E80" s="1072"/>
      <c r="F80" s="1750"/>
      <c r="G80" s="1751"/>
      <c r="H80" s="1751"/>
      <c r="I80" s="1681"/>
      <c r="J80" s="1681"/>
      <c r="K80" s="1752"/>
      <c r="L80" s="1681"/>
      <c r="M80" s="1751"/>
      <c r="N80" s="2014"/>
      <c r="O80" s="2015"/>
      <c r="P80" s="2011"/>
      <c r="Q80" s="2013"/>
      <c r="R80" s="2013"/>
      <c r="S80" s="2045"/>
      <c r="T80" s="2013"/>
      <c r="U80" s="2013"/>
      <c r="V80" s="2013"/>
      <c r="W80" s="2013"/>
      <c r="X80" s="2013"/>
      <c r="Y80" s="2013"/>
      <c r="Z80" s="1749"/>
      <c r="AA80" s="1715">
        <v>1</v>
      </c>
      <c r="AB80" s="1082"/>
      <c r="AC80" s="1071"/>
      <c r="AD80" s="1082">
        <f>AB80</f>
        <v>0</v>
      </c>
      <c r="AE80" s="640"/>
      <c r="AF80" s="1752"/>
      <c r="AG80" s="1675"/>
      <c r="AH80" s="1675"/>
      <c r="AI80" s="1752"/>
      <c r="AJ80" s="1675"/>
      <c r="AK80" s="1675"/>
      <c r="AL80" s="1075"/>
      <c r="AM80" s="1743"/>
      <c r="AN80" s="1743"/>
      <c r="AO80" s="1743"/>
      <c r="AP80" s="1743"/>
      <c r="AQ80" s="1743"/>
      <c r="AR80" s="1743"/>
      <c r="AS80" s="1743"/>
      <c r="AT80" s="1743"/>
      <c r="AU80" s="1743"/>
      <c r="AV80" s="1743"/>
      <c r="AW80" s="1743"/>
      <c r="AX80" s="1743"/>
      <c r="AY80" s="1743"/>
      <c r="AZ80" s="1743"/>
      <c r="BA80" s="1743"/>
      <c r="BB80" s="1743"/>
      <c r="BC80" s="1743"/>
      <c r="BD80" s="1743"/>
      <c r="BE80" s="1743"/>
      <c r="BF80" s="1743"/>
    </row>
    <row r="81" spans="1:58" s="1552" customFormat="1" ht="11.25" customHeight="1">
      <c r="A81" s="1068"/>
      <c r="B81" s="1068"/>
      <c r="C81" s="1068"/>
      <c r="D81" s="1062"/>
      <c r="E81" s="1072"/>
      <c r="F81" s="1750"/>
      <c r="G81" s="1751"/>
      <c r="H81" s="1751"/>
      <c r="I81" s="1682"/>
      <c r="J81" s="1682"/>
      <c r="K81" s="1752"/>
      <c r="L81" s="1682"/>
      <c r="M81" s="1751"/>
      <c r="N81" s="2014"/>
      <c r="O81" s="2015"/>
      <c r="P81" s="2012"/>
      <c r="Q81" s="2013"/>
      <c r="R81" s="2013"/>
      <c r="S81" s="2045"/>
      <c r="T81" s="2013"/>
      <c r="U81" s="2013"/>
      <c r="V81" s="2013"/>
      <c r="W81" s="2013"/>
      <c r="X81" s="2013"/>
      <c r="Y81" s="2013"/>
      <c r="Z81" s="1078"/>
      <c r="AA81" s="1079"/>
      <c r="AB81" s="1152" t="s">
        <v>406</v>
      </c>
      <c r="AC81" s="1083"/>
      <c r="AD81" s="1083"/>
      <c r="AE81" s="1083"/>
      <c r="AF81" s="1754"/>
      <c r="AG81" s="1675"/>
      <c r="AH81" s="1675"/>
      <c r="AI81" s="1754"/>
      <c r="AJ81" s="1675"/>
      <c r="AK81" s="1675"/>
      <c r="AL81" s="1075"/>
      <c r="AM81" s="1743"/>
      <c r="AN81" s="1743"/>
      <c r="AO81" s="1743"/>
      <c r="AP81" s="1743"/>
      <c r="AQ81" s="1743"/>
      <c r="AR81" s="1743"/>
      <c r="AS81" s="1743"/>
      <c r="AT81" s="1743"/>
      <c r="AU81" s="1743"/>
      <c r="AV81" s="1743"/>
      <c r="AW81" s="1743"/>
      <c r="AX81" s="1743"/>
      <c r="AY81" s="1743"/>
      <c r="AZ81" s="1743"/>
      <c r="BA81" s="1743"/>
      <c r="BB81" s="1743"/>
      <c r="BC81" s="1743"/>
      <c r="BD81" s="1743"/>
      <c r="BE81" s="1743"/>
      <c r="BF81" s="1743"/>
    </row>
    <row r="83" spans="1:58" s="1736" customFormat="1" ht="11.25" customHeight="1">
      <c r="A83" s="1736" t="s">
        <v>410</v>
      </c>
    </row>
    <row r="85" spans="1:58" s="1552" customFormat="1" ht="11.25" customHeight="1">
      <c r="A85" s="1068"/>
      <c r="B85" s="1068"/>
      <c r="C85" s="1068"/>
      <c r="D85" s="1062"/>
      <c r="E85" s="1072"/>
      <c r="F85" s="1751"/>
      <c r="G85" s="1751"/>
      <c r="H85" s="1751"/>
      <c r="I85" s="1751"/>
      <c r="J85" s="1751"/>
      <c r="K85" s="1751"/>
      <c r="L85" s="1751"/>
      <c r="M85" s="1751"/>
      <c r="N85" s="1751"/>
      <c r="O85" s="1751"/>
      <c r="P85" s="1751"/>
      <c r="Q85" s="1751"/>
      <c r="R85" s="1751"/>
      <c r="S85" s="1751"/>
      <c r="T85" s="1751"/>
      <c r="U85" s="1751"/>
      <c r="V85" s="1751"/>
      <c r="W85" s="1751"/>
      <c r="X85" s="1751"/>
      <c r="Y85" s="1751"/>
      <c r="Z85" s="1755"/>
      <c r="AA85" s="1735">
        <v>1</v>
      </c>
      <c r="AB85" s="1082"/>
      <c r="AC85" s="1071"/>
      <c r="AD85" s="1082">
        <f>AB85</f>
        <v>0</v>
      </c>
      <c r="AE85" s="1071"/>
      <c r="AF85" s="1752"/>
      <c r="AG85" s="1675"/>
      <c r="AH85" s="1675"/>
      <c r="AI85" s="1752"/>
      <c r="AJ85" s="1675"/>
      <c r="AK85" s="1675"/>
      <c r="AL85" s="1075"/>
      <c r="AM85" s="1743"/>
      <c r="AN85" s="1743"/>
      <c r="AO85" s="1743"/>
      <c r="AP85" s="1743"/>
      <c r="AQ85" s="1743"/>
      <c r="AR85" s="1743"/>
      <c r="AS85" s="1743"/>
      <c r="AT85" s="1743"/>
      <c r="AU85" s="1743"/>
      <c r="AV85" s="1743"/>
      <c r="AW85" s="1743"/>
      <c r="AX85" s="1743"/>
      <c r="AY85" s="1743"/>
      <c r="AZ85" s="1743"/>
      <c r="BA85" s="1743"/>
      <c r="BB85" s="1743"/>
      <c r="BC85" s="1743"/>
      <c r="BD85" s="1743"/>
      <c r="BE85" s="1743"/>
      <c r="BF85" s="1743"/>
    </row>
    <row r="87" spans="1:58" s="1736" customFormat="1" ht="11.25" customHeight="1">
      <c r="A87" s="1736" t="s">
        <v>411</v>
      </c>
    </row>
    <row r="89" spans="1:58" s="1552" customFormat="1" ht="11.25" customHeight="1">
      <c r="A89" s="1068"/>
      <c r="B89" s="1068"/>
      <c r="C89" s="1068"/>
      <c r="D89" s="1062"/>
      <c r="E89" s="1072"/>
      <c r="F89" s="1750"/>
      <c r="G89" s="1751"/>
      <c r="H89" s="1998" t="s">
        <v>109</v>
      </c>
      <c r="I89" s="2046"/>
      <c r="J89" s="2047"/>
      <c r="K89" s="2048"/>
      <c r="L89" s="2040" t="s">
        <v>57</v>
      </c>
      <c r="M89" s="1886"/>
      <c r="N89" s="1081"/>
      <c r="O89" s="1080" t="s">
        <v>369</v>
      </c>
      <c r="P89" s="1081"/>
      <c r="Q89" s="1081"/>
      <c r="R89" s="1081"/>
      <c r="S89" s="1081"/>
      <c r="T89" s="1081"/>
      <c r="U89" s="1081"/>
      <c r="V89" s="1081"/>
      <c r="W89" s="1081"/>
      <c r="X89" s="1081"/>
      <c r="Y89" s="1081"/>
      <c r="Z89" s="1081"/>
      <c r="AA89" s="1081"/>
      <c r="AB89" s="1081"/>
      <c r="AC89" s="1081"/>
      <c r="AD89" s="1081"/>
      <c r="AE89" s="1081"/>
      <c r="AF89" s="2044"/>
      <c r="AG89" s="2040"/>
      <c r="AH89" s="2040"/>
      <c r="AI89" s="2044"/>
      <c r="AJ89" s="2040"/>
      <c r="AK89" s="2040"/>
      <c r="AL89" s="1075"/>
      <c r="AM89" s="1743"/>
      <c r="AN89" s="1743"/>
      <c r="AO89" s="1743"/>
      <c r="AP89" s="1743"/>
      <c r="AQ89" s="1743"/>
      <c r="AR89" s="1743"/>
      <c r="AS89" s="1743"/>
      <c r="AT89" s="1743"/>
      <c r="AU89" s="1743"/>
      <c r="AV89" s="1743"/>
      <c r="AW89" s="1743"/>
      <c r="AX89" s="1743"/>
      <c r="AY89" s="1743"/>
      <c r="AZ89" s="1743"/>
      <c r="BA89" s="1743"/>
      <c r="BB89" s="1743"/>
      <c r="BC89" s="1743"/>
      <c r="BD89" s="1743"/>
      <c r="BE89" s="1743"/>
      <c r="BF89" s="1743"/>
    </row>
    <row r="90" spans="1:58" s="1552" customFormat="1" ht="11.25" customHeight="1">
      <c r="A90" s="1068"/>
      <c r="B90" s="1068"/>
      <c r="C90" s="1068"/>
      <c r="D90" s="1062"/>
      <c r="E90" s="1072"/>
      <c r="F90" s="1750"/>
      <c r="G90" s="1751"/>
      <c r="H90" s="1998"/>
      <c r="I90" s="2046"/>
      <c r="J90" s="2047"/>
      <c r="K90" s="2048"/>
      <c r="L90" s="2040"/>
      <c r="M90" s="1886"/>
      <c r="N90" s="2049"/>
      <c r="O90" s="2015">
        <v>1</v>
      </c>
      <c r="P90" s="2010" t="s">
        <v>57</v>
      </c>
      <c r="Q90" s="2013" t="s">
        <v>18</v>
      </c>
      <c r="R90" s="2013" t="s">
        <v>18</v>
      </c>
      <c r="S90" s="2013" t="s">
        <v>18</v>
      </c>
      <c r="T90" s="2013" t="s">
        <v>18</v>
      </c>
      <c r="U90" s="2013" t="s">
        <v>18</v>
      </c>
      <c r="V90" s="2013" t="s">
        <v>18</v>
      </c>
      <c r="W90" s="2013" t="s">
        <v>18</v>
      </c>
      <c r="X90" s="2013" t="s">
        <v>18</v>
      </c>
      <c r="Y90" s="2013"/>
      <c r="Z90" s="1078"/>
      <c r="AA90" s="1079"/>
      <c r="AB90" s="1079"/>
      <c r="AC90" s="1083"/>
      <c r="AD90" s="1083"/>
      <c r="AE90" s="1084"/>
      <c r="AF90" s="2044"/>
      <c r="AG90" s="2040"/>
      <c r="AH90" s="2040"/>
      <c r="AI90" s="2044"/>
      <c r="AJ90" s="2040"/>
      <c r="AK90" s="2040"/>
      <c r="AL90" s="1075"/>
      <c r="AM90" s="1743"/>
      <c r="AN90" s="1743"/>
      <c r="AO90" s="1743"/>
      <c r="AP90" s="1743"/>
      <c r="AQ90" s="1743"/>
      <c r="AR90" s="1743"/>
      <c r="AS90" s="1743"/>
      <c r="AT90" s="1743"/>
      <c r="AU90" s="1743"/>
      <c r="AV90" s="1743"/>
      <c r="AW90" s="1743"/>
      <c r="AX90" s="1743"/>
      <c r="AY90" s="1743"/>
      <c r="AZ90" s="1743"/>
      <c r="BA90" s="1743"/>
      <c r="BB90" s="1743"/>
      <c r="BC90" s="1743"/>
      <c r="BD90" s="1743"/>
      <c r="BE90" s="1743"/>
      <c r="BF90" s="1743"/>
    </row>
    <row r="91" spans="1:58" s="1552" customFormat="1" ht="11.25" customHeight="1">
      <c r="A91" s="1068"/>
      <c r="B91" s="1068"/>
      <c r="C91" s="1068"/>
      <c r="D91" s="1062"/>
      <c r="E91" s="1072"/>
      <c r="F91" s="1750"/>
      <c r="G91" s="1751"/>
      <c r="H91" s="1998"/>
      <c r="I91" s="2046"/>
      <c r="J91" s="2047"/>
      <c r="K91" s="2048"/>
      <c r="L91" s="2040"/>
      <c r="M91" s="1886"/>
      <c r="N91" s="2049"/>
      <c r="O91" s="2015"/>
      <c r="P91" s="2011"/>
      <c r="Q91" s="2013"/>
      <c r="R91" s="2013"/>
      <c r="S91" s="2045"/>
      <c r="T91" s="2013"/>
      <c r="U91" s="2013"/>
      <c r="V91" s="2013"/>
      <c r="W91" s="2013"/>
      <c r="X91" s="2013"/>
      <c r="Y91" s="2013"/>
      <c r="Z91" s="1749"/>
      <c r="AA91" s="1715">
        <v>1</v>
      </c>
      <c r="AB91" s="1082"/>
      <c r="AC91" s="1071"/>
      <c r="AD91" s="1082">
        <f>AB91</f>
        <v>0</v>
      </c>
      <c r="AE91" s="1071"/>
      <c r="AF91" s="2044"/>
      <c r="AG91" s="2040"/>
      <c r="AH91" s="2040"/>
      <c r="AI91" s="2044"/>
      <c r="AJ91" s="2040"/>
      <c r="AK91" s="2040"/>
      <c r="AL91" s="1075"/>
      <c r="AM91" s="1743"/>
      <c r="AN91" s="1743"/>
      <c r="AO91" s="1743"/>
      <c r="AP91" s="1743"/>
      <c r="AQ91" s="1743"/>
      <c r="AR91" s="1743"/>
      <c r="AS91" s="1743"/>
      <c r="AT91" s="1743"/>
      <c r="AU91" s="1743"/>
      <c r="AV91" s="1743"/>
      <c r="AW91" s="1743"/>
      <c r="AX91" s="1743"/>
      <c r="AY91" s="1743"/>
      <c r="AZ91" s="1743"/>
      <c r="BA91" s="1743"/>
      <c r="BB91" s="1743"/>
      <c r="BC91" s="1743"/>
      <c r="BD91" s="1743"/>
      <c r="BE91" s="1743"/>
      <c r="BF91" s="1743"/>
    </row>
    <row r="92" spans="1:58" s="1552" customFormat="1" ht="11.25" customHeight="1">
      <c r="A92" s="1068"/>
      <c r="B92" s="1068"/>
      <c r="C92" s="1068"/>
      <c r="D92" s="1062"/>
      <c r="E92" s="1072"/>
      <c r="F92" s="1750"/>
      <c r="G92" s="1751"/>
      <c r="H92" s="1998"/>
      <c r="I92" s="2046"/>
      <c r="J92" s="2047"/>
      <c r="K92" s="2048"/>
      <c r="L92" s="2040"/>
      <c r="M92" s="1886"/>
      <c r="N92" s="2049"/>
      <c r="O92" s="2015"/>
      <c r="P92" s="2012"/>
      <c r="Q92" s="2013"/>
      <c r="R92" s="2013"/>
      <c r="S92" s="2045"/>
      <c r="T92" s="2013"/>
      <c r="U92" s="2013"/>
      <c r="V92" s="2013"/>
      <c r="W92" s="2013"/>
      <c r="X92" s="2013"/>
      <c r="Y92" s="2013"/>
      <c r="Z92" s="1078"/>
      <c r="AA92" s="1079"/>
      <c r="AB92" s="1152" t="s">
        <v>406</v>
      </c>
      <c r="AC92" s="1083"/>
      <c r="AD92" s="1083"/>
      <c r="AE92" s="1085"/>
      <c r="AF92" s="2044"/>
      <c r="AG92" s="2040"/>
      <c r="AH92" s="2040"/>
      <c r="AI92" s="2044"/>
      <c r="AJ92" s="2040"/>
      <c r="AK92" s="2040"/>
      <c r="AL92" s="1075"/>
      <c r="AM92" s="1743"/>
      <c r="AN92" s="1743"/>
      <c r="AO92" s="1743"/>
      <c r="AP92" s="1743"/>
      <c r="AQ92" s="1743"/>
      <c r="AR92" s="1743"/>
      <c r="AS92" s="1743"/>
      <c r="AT92" s="1743"/>
      <c r="AU92" s="1743"/>
      <c r="AV92" s="1743"/>
      <c r="AW92" s="1743"/>
      <c r="AX92" s="1743"/>
      <c r="AY92" s="1743"/>
      <c r="AZ92" s="1743"/>
      <c r="BA92" s="1743"/>
      <c r="BB92" s="1743"/>
      <c r="BC92" s="1743"/>
      <c r="BD92" s="1743"/>
      <c r="BE92" s="1743"/>
      <c r="BF92" s="1743"/>
    </row>
    <row r="93" spans="1:58" s="1552" customFormat="1" ht="11.25" customHeight="1">
      <c r="A93" s="1068"/>
      <c r="B93" s="1068"/>
      <c r="C93" s="1068"/>
      <c r="D93" s="1062"/>
      <c r="E93" s="1072"/>
      <c r="F93" s="1750"/>
      <c r="G93" s="1751"/>
      <c r="H93" s="1998"/>
      <c r="I93" s="2046"/>
      <c r="J93" s="2047"/>
      <c r="K93" s="2048"/>
      <c r="L93" s="2040"/>
      <c r="M93" s="1886"/>
      <c r="N93" s="1079"/>
      <c r="O93" s="1079"/>
      <c r="P93" s="1070" t="s">
        <v>407</v>
      </c>
      <c r="Q93" s="1079"/>
      <c r="R93" s="1079"/>
      <c r="S93" s="1079"/>
      <c r="T93" s="1079"/>
      <c r="U93" s="1079"/>
      <c r="V93" s="1079"/>
      <c r="W93" s="1079"/>
      <c r="X93" s="1079"/>
      <c r="Y93" s="1079"/>
      <c r="Z93" s="1079"/>
      <c r="AA93" s="1079"/>
      <c r="AB93" s="1079"/>
      <c r="AC93" s="1079"/>
      <c r="AD93" s="1079"/>
      <c r="AE93" s="1086"/>
      <c r="AF93" s="2044"/>
      <c r="AG93" s="2040"/>
      <c r="AH93" s="2040"/>
      <c r="AI93" s="2044"/>
      <c r="AJ93" s="2040"/>
      <c r="AK93" s="2040"/>
      <c r="AL93" s="1075"/>
      <c r="AM93" s="1743"/>
      <c r="AN93" s="1743"/>
      <c r="AO93" s="1743"/>
      <c r="AP93" s="1743"/>
      <c r="AQ93" s="1743"/>
      <c r="AR93" s="1743"/>
      <c r="AS93" s="1743"/>
      <c r="AT93" s="1743"/>
      <c r="AU93" s="1743"/>
      <c r="AV93" s="1743"/>
      <c r="AW93" s="1743"/>
      <c r="AX93" s="1743"/>
      <c r="AY93" s="1743"/>
      <c r="AZ93" s="1743"/>
      <c r="BA93" s="1743"/>
      <c r="BB93" s="1743"/>
      <c r="BC93" s="1743"/>
      <c r="BD93" s="1743"/>
      <c r="BE93" s="1743"/>
      <c r="BF93" s="1743"/>
    </row>
    <row r="95" spans="1:58" s="1736" customFormat="1" ht="11.25" customHeight="1">
      <c r="A95" s="1736" t="s">
        <v>412</v>
      </c>
    </row>
    <row r="96" spans="1:58" ht="17.25" customHeight="1"/>
    <row r="97" spans="1:184" s="839" customFormat="1" ht="21" customHeight="1">
      <c r="A97" s="1069"/>
      <c r="B97" s="852"/>
      <c r="D97" s="838"/>
      <c r="E97" s="851" t="s">
        <v>18</v>
      </c>
      <c r="F97" s="1026" t="e">
        <f>INDEX(IP_MAIN_LIST_NAME_IP,MATCH(A97,IP_MAIN_LIST_IP_ID,0))&amp;" ("&amp;INDEX(IP_MAIN_START_DATE,MATCH(A97,IP_MAIN_LIST_IP_ID,0))&amp;"-"&amp;INDEX(IP_MAIN_END_DATE,MATCH(A97,IP_MAIN_LIST_IP_ID,0))&amp;")"</f>
        <v>#N/A</v>
      </c>
      <c r="G97" s="1107"/>
      <c r="H97" s="1108"/>
      <c r="I97" s="1108"/>
      <c r="J97" s="1108"/>
      <c r="K97" s="1108"/>
      <c r="L97" s="1108"/>
      <c r="M97" s="1108"/>
      <c r="N97" s="1108"/>
      <c r="O97" s="1107"/>
      <c r="P97" s="1107"/>
      <c r="Q97" s="1107"/>
      <c r="R97" s="1107"/>
      <c r="S97" s="1107"/>
      <c r="T97" s="1107"/>
      <c r="U97" s="1109"/>
      <c r="V97" s="1109"/>
      <c r="W97" s="1109"/>
      <c r="X97" s="1109"/>
      <c r="Y97" s="1109"/>
      <c r="Z97" s="1109"/>
      <c r="AA97" s="1109"/>
      <c r="AB97" s="1107"/>
      <c r="AC97" s="1108"/>
      <c r="AD97" s="1108"/>
      <c r="AE97" s="1108"/>
      <c r="AF97" s="1108"/>
      <c r="AG97" s="1108"/>
      <c r="AH97" s="1108"/>
      <c r="AI97" s="1108"/>
      <c r="AJ97" s="1108"/>
      <c r="AK97" s="1108"/>
      <c r="AL97" s="1108"/>
      <c r="AM97" s="1108"/>
      <c r="AN97" s="1108"/>
      <c r="AO97" s="1108"/>
      <c r="AP97" s="1108"/>
      <c r="AQ97" s="1108"/>
      <c r="AR97" s="1108"/>
      <c r="AS97" s="1108"/>
      <c r="AT97" s="1108"/>
      <c r="AU97" s="1108"/>
      <c r="AV97" s="1108"/>
      <c r="AW97" s="1108"/>
      <c r="AX97" s="1108"/>
      <c r="AY97" s="1108"/>
      <c r="AZ97" s="1108"/>
      <c r="BA97" s="1108"/>
      <c r="BB97" s="1108"/>
      <c r="BC97" s="1108"/>
      <c r="BD97" s="1108"/>
      <c r="BE97" s="1108"/>
      <c r="BF97" s="1108"/>
      <c r="BG97" s="1108"/>
      <c r="BH97" s="1108"/>
      <c r="BI97" s="1108"/>
      <c r="BJ97" s="1108"/>
      <c r="BK97" s="1108"/>
      <c r="BL97" s="1108"/>
      <c r="BM97" s="1108"/>
      <c r="BN97" s="1108"/>
      <c r="BO97" s="1108"/>
      <c r="BP97" s="1108"/>
      <c r="BQ97" s="1108"/>
      <c r="BR97" s="1108"/>
      <c r="BS97" s="1108"/>
      <c r="BT97" s="1108"/>
      <c r="BU97" s="1108"/>
      <c r="BV97" s="1108"/>
      <c r="BW97" s="1108"/>
      <c r="BX97" s="1108"/>
      <c r="BY97" s="1108"/>
      <c r="BZ97" s="1108"/>
      <c r="CA97" s="1108"/>
      <c r="CB97" s="1108"/>
      <c r="CC97" s="1108"/>
      <c r="CD97" s="1108"/>
      <c r="CE97" s="1108"/>
      <c r="CF97" s="1108"/>
      <c r="CG97" s="1108"/>
      <c r="CH97" s="1108"/>
      <c r="CI97" s="1108"/>
      <c r="CJ97" s="1108"/>
      <c r="CK97" s="1108"/>
      <c r="CL97" s="1110"/>
      <c r="CM97" s="1110"/>
      <c r="CN97" s="1110"/>
      <c r="CO97" s="1110"/>
      <c r="CP97" s="1110"/>
      <c r="CQ97" s="1110"/>
      <c r="CR97" s="1110"/>
      <c r="CS97" s="1110"/>
      <c r="CT97" s="1110"/>
      <c r="CU97" s="1110"/>
      <c r="CV97" s="1110"/>
      <c r="CW97" s="1110"/>
      <c r="CX97" s="1110"/>
      <c r="CY97" s="1110"/>
      <c r="CZ97" s="1110"/>
      <c r="DA97" s="1110"/>
      <c r="DB97" s="1110"/>
      <c r="DC97" s="1110"/>
      <c r="DD97" s="1110"/>
      <c r="DE97" s="1110"/>
      <c r="DF97" s="1110"/>
      <c r="DG97" s="1110"/>
      <c r="DH97" s="1110"/>
      <c r="DI97" s="1110"/>
      <c r="DJ97" s="1110"/>
      <c r="DK97" s="1110"/>
      <c r="DL97" s="1110"/>
      <c r="DM97" s="1110"/>
      <c r="DN97" s="1110"/>
      <c r="DO97" s="1110"/>
      <c r="DP97" s="1110"/>
      <c r="DQ97" s="1110"/>
      <c r="DR97" s="1110"/>
      <c r="DS97" s="1110"/>
      <c r="DT97" s="1110"/>
      <c r="DU97" s="1110"/>
      <c r="DV97" s="1110"/>
      <c r="DW97" s="1110"/>
      <c r="DX97" s="1110"/>
      <c r="DY97" s="1110"/>
      <c r="DZ97" s="1110"/>
      <c r="EA97" s="1110"/>
      <c r="EB97" s="1110"/>
      <c r="EC97" s="1110"/>
      <c r="ED97" s="1110"/>
      <c r="EE97" s="1110"/>
      <c r="EF97" s="1110"/>
      <c r="EG97" s="1110"/>
      <c r="EH97" s="1110"/>
      <c r="EI97" s="1110"/>
      <c r="EJ97" s="1110"/>
      <c r="EK97" s="1110"/>
      <c r="EL97" s="1110"/>
      <c r="EM97" s="1110"/>
      <c r="EN97" s="1110"/>
      <c r="EO97" s="1110"/>
      <c r="EP97" s="1110"/>
      <c r="EQ97" s="1110"/>
      <c r="ER97" s="1110"/>
      <c r="ES97" s="1110"/>
      <c r="ET97" s="1110"/>
      <c r="EU97" s="1110"/>
      <c r="EV97" s="1110"/>
      <c r="EW97" s="1110"/>
      <c r="EX97" s="1110"/>
      <c r="EY97" s="1110"/>
      <c r="EZ97" s="1110"/>
      <c r="FA97" s="1110"/>
      <c r="FB97" s="1110"/>
      <c r="FC97" s="1110"/>
      <c r="FD97" s="1110"/>
      <c r="FE97" s="1110"/>
      <c r="FF97" s="1110"/>
      <c r="FG97" s="1110"/>
      <c r="FH97" s="1110"/>
      <c r="FI97" s="1110"/>
      <c r="FJ97" s="1110"/>
      <c r="FK97" s="1110"/>
      <c r="FL97" s="1110"/>
      <c r="FM97" s="1110"/>
      <c r="FN97" s="1110"/>
      <c r="FO97" s="1110"/>
      <c r="FP97" s="1110"/>
      <c r="FQ97" s="1110"/>
      <c r="FR97" s="1110"/>
      <c r="FS97" s="1110"/>
      <c r="FT97" s="1110"/>
      <c r="FU97" s="1110"/>
      <c r="FV97" s="1111"/>
      <c r="FW97" s="1105"/>
      <c r="FX97" s="1106"/>
    </row>
    <row r="98" spans="1:184" s="839" customFormat="1" ht="24.75" customHeight="1">
      <c r="B98" s="837"/>
      <c r="C98" s="838"/>
      <c r="D98" s="838"/>
      <c r="E98"/>
      <c r="F98" s="1112">
        <v>1</v>
      </c>
      <c r="G98" s="1113"/>
      <c r="H98" s="1114"/>
      <c r="I98" s="1122"/>
      <c r="J98" s="1115"/>
      <c r="K98" s="1115"/>
      <c r="L98" s="1115"/>
      <c r="M98" s="1115"/>
      <c r="N98" s="1115"/>
      <c r="O98" s="1116"/>
      <c r="P98" s="1116"/>
      <c r="Q98" s="1116"/>
      <c r="R98" s="1116"/>
      <c r="S98" s="1116"/>
      <c r="T98" s="1116"/>
      <c r="U98" s="1116"/>
      <c r="V98" s="1116"/>
      <c r="W98" s="1116"/>
      <c r="X98" s="1116"/>
      <c r="Y98" s="1116"/>
      <c r="Z98" s="1116"/>
      <c r="AA98" s="1116"/>
      <c r="AB98" s="1116"/>
      <c r="AC98" s="1115"/>
      <c r="AD98" s="1115"/>
      <c r="AE98" s="1115"/>
      <c r="AF98" s="1115"/>
      <c r="AG98" s="1115"/>
      <c r="AH98" s="1115"/>
      <c r="AI98" s="1115"/>
      <c r="AJ98" s="1115"/>
      <c r="AK98" s="1115"/>
      <c r="AL98" s="1115"/>
      <c r="AM98" s="1115"/>
      <c r="AN98" s="1115"/>
      <c r="AO98" s="1115"/>
      <c r="AP98" s="1115"/>
      <c r="AQ98" s="1115"/>
      <c r="AR98" s="1115"/>
      <c r="AS98" s="1115"/>
      <c r="AT98" s="1115"/>
      <c r="AU98" s="1115"/>
      <c r="AV98" s="1115"/>
      <c r="AW98" s="1115"/>
      <c r="AX98" s="1115"/>
      <c r="AY98" s="1115"/>
      <c r="AZ98" s="1115"/>
      <c r="BA98" s="1115"/>
      <c r="BB98" s="1115"/>
      <c r="BC98" s="1115"/>
      <c r="BD98" s="1115"/>
      <c r="BE98" s="1115"/>
      <c r="BF98" s="1115"/>
      <c r="BG98" s="1115"/>
      <c r="BH98" s="1115"/>
      <c r="BI98" s="1115"/>
      <c r="BJ98" s="1115"/>
      <c r="BK98" s="1115"/>
      <c r="BL98" s="1115"/>
      <c r="BM98" s="1115"/>
      <c r="BN98" s="1115"/>
      <c r="BO98" s="1115"/>
      <c r="BP98" s="1115"/>
      <c r="BQ98" s="1115"/>
      <c r="BR98" s="1115"/>
      <c r="BS98" s="1115"/>
      <c r="BT98" s="1117"/>
      <c r="BU98" s="1117"/>
      <c r="BV98" s="1117"/>
      <c r="BW98" s="1117"/>
      <c r="BX98" s="1117"/>
      <c r="BY98" s="1117"/>
      <c r="BZ98" s="1117"/>
      <c r="CA98" s="1117"/>
      <c r="CB98" s="1117"/>
      <c r="CC98" s="1117"/>
      <c r="CD98" s="1117"/>
      <c r="CE98" s="1117"/>
      <c r="CF98" s="1117"/>
      <c r="CG98" s="1117"/>
      <c r="CH98" s="1117"/>
      <c r="CI98" s="1117"/>
      <c r="CJ98" s="1117"/>
      <c r="CK98" s="1117"/>
      <c r="CL98" s="1115"/>
      <c r="CM98" s="1115"/>
      <c r="CN98" s="1115"/>
      <c r="CO98" s="1115"/>
      <c r="CP98" s="1115"/>
      <c r="CQ98" s="1115"/>
      <c r="CR98" s="1115"/>
      <c r="CS98" s="1115"/>
      <c r="CT98" s="1115"/>
      <c r="CU98" s="1115"/>
      <c r="CV98" s="1115"/>
      <c r="CW98" s="1115"/>
      <c r="CX98" s="1115"/>
      <c r="CY98" s="1116"/>
      <c r="CZ98" s="1116"/>
      <c r="DA98" s="1116"/>
      <c r="DB98" s="1116"/>
      <c r="DC98" s="1116"/>
      <c r="DD98" s="1116"/>
      <c r="DE98" s="1116"/>
      <c r="DF98" s="1116"/>
      <c r="DG98" s="1116"/>
      <c r="DH98" s="1116"/>
      <c r="DI98" s="1116"/>
      <c r="DJ98" s="1116"/>
      <c r="DK98" s="1115"/>
      <c r="DL98" s="1115"/>
      <c r="DM98" s="1115"/>
      <c r="DN98" s="1115"/>
      <c r="DO98" s="1115"/>
      <c r="DP98" s="1115"/>
      <c r="DQ98" s="1115"/>
      <c r="DR98" s="1115"/>
      <c r="DS98" s="1115"/>
      <c r="DT98" s="1115"/>
      <c r="DU98" s="1115"/>
      <c r="DV98" s="1115"/>
      <c r="DW98" s="1115"/>
      <c r="DX98" s="1115"/>
      <c r="DY98" s="1115"/>
      <c r="DZ98" s="1115"/>
      <c r="EA98" s="1115"/>
      <c r="EB98" s="1115"/>
      <c r="EC98" s="1115"/>
      <c r="ED98" s="1115"/>
      <c r="EE98" s="1115"/>
      <c r="EF98" s="1115"/>
      <c r="EG98" s="1115"/>
      <c r="EH98" s="1115"/>
      <c r="EI98" s="1115"/>
      <c r="EJ98" s="1115"/>
      <c r="EK98" s="1115"/>
      <c r="EL98" s="1115"/>
      <c r="EM98" s="1115"/>
      <c r="EN98" s="1115"/>
      <c r="EO98" s="1115"/>
      <c r="EP98" s="1115"/>
      <c r="EQ98" s="1115"/>
      <c r="ER98" s="1115"/>
      <c r="ES98" s="1115"/>
      <c r="ET98" s="1115"/>
      <c r="EU98" s="1115"/>
      <c r="EV98" s="1115"/>
      <c r="EW98" s="1115"/>
      <c r="EX98" s="1115"/>
      <c r="EY98" s="1115"/>
      <c r="EZ98" s="1115"/>
      <c r="FA98" s="1115"/>
      <c r="FB98" s="1115"/>
      <c r="FC98" s="1115"/>
      <c r="FD98" s="1115"/>
      <c r="FE98" s="1115"/>
      <c r="FF98" s="1115"/>
      <c r="FG98" s="1115"/>
      <c r="FH98" s="1115"/>
      <c r="FI98" s="1115"/>
      <c r="FJ98" s="1115"/>
      <c r="FK98" s="1115"/>
      <c r="FL98" s="1115"/>
      <c r="FM98" s="1115"/>
      <c r="FN98" s="1115"/>
      <c r="FO98" s="1115"/>
      <c r="FP98" s="1115"/>
      <c r="FQ98" s="1115"/>
      <c r="FR98" s="1115"/>
      <c r="FS98" s="1115"/>
      <c r="FT98" s="1115"/>
      <c r="FU98" s="1115"/>
      <c r="FV98" s="1115"/>
      <c r="FW98" s="1115"/>
      <c r="FX98" s="1106"/>
    </row>
    <row r="99" spans="1:184" s="839" customFormat="1" ht="12" customHeight="1">
      <c r="A99" s="838"/>
      <c r="B99" s="837"/>
      <c r="C99" s="838"/>
      <c r="D99" s="838"/>
      <c r="E99" s="838"/>
      <c r="F99" s="1118"/>
      <c r="G99" s="1721" t="s">
        <v>413</v>
      </c>
      <c r="H99" s="1119"/>
      <c r="I99" s="1119"/>
      <c r="J99" s="1119"/>
      <c r="K99" s="1119"/>
      <c r="L99" s="1119"/>
      <c r="M99" s="1119"/>
      <c r="N99" s="1119"/>
      <c r="O99" s="1119"/>
      <c r="P99" s="1119"/>
      <c r="Q99" s="1119"/>
      <c r="R99" s="1119"/>
      <c r="S99" s="1119"/>
      <c r="T99" s="1119"/>
      <c r="U99" s="1119"/>
      <c r="V99" s="1119"/>
      <c r="W99" s="1119"/>
      <c r="X99" s="1119"/>
      <c r="Y99" s="1119"/>
      <c r="Z99" s="1119"/>
      <c r="AA99" s="1119"/>
      <c r="AB99" s="1119"/>
      <c r="AC99" s="1119"/>
      <c r="AD99" s="1119"/>
      <c r="AE99" s="1119"/>
      <c r="AF99" s="1119"/>
      <c r="AG99" s="1119"/>
      <c r="AH99" s="1119"/>
      <c r="AI99" s="1119"/>
      <c r="AJ99" s="1119"/>
      <c r="AK99" s="1119"/>
      <c r="AL99" s="1119"/>
      <c r="AM99" s="1119"/>
      <c r="AN99" s="1119"/>
      <c r="AO99" s="1119"/>
      <c r="AP99" s="1119"/>
      <c r="AQ99" s="1119"/>
      <c r="AR99" s="1119"/>
      <c r="AS99" s="1119"/>
      <c r="AT99" s="1119"/>
      <c r="AU99" s="1119"/>
      <c r="AV99" s="1119"/>
      <c r="AW99" s="1119"/>
      <c r="AX99" s="1119"/>
      <c r="AY99" s="1119"/>
      <c r="AZ99" s="1119"/>
      <c r="BA99" s="1119"/>
      <c r="BB99" s="1119"/>
      <c r="BC99" s="1119"/>
      <c r="BD99" s="1119"/>
      <c r="BE99" s="1119"/>
      <c r="BF99" s="1119"/>
      <c r="BG99" s="1119"/>
      <c r="BH99" s="1119"/>
      <c r="BI99" s="1119"/>
      <c r="BJ99" s="1119"/>
      <c r="BK99" s="1119"/>
      <c r="BL99" s="1119"/>
      <c r="BM99" s="1119"/>
      <c r="BN99" s="1119"/>
      <c r="BO99" s="1119"/>
      <c r="BP99" s="1119"/>
      <c r="BQ99" s="1119"/>
      <c r="BR99" s="1119"/>
      <c r="BS99" s="1119"/>
      <c r="BT99" s="1119"/>
      <c r="BU99" s="1119"/>
      <c r="BV99" s="1119"/>
      <c r="BW99" s="1119"/>
      <c r="BX99" s="1119"/>
      <c r="BY99" s="1119"/>
      <c r="BZ99" s="1119"/>
      <c r="CA99" s="1119"/>
      <c r="CB99" s="1119"/>
      <c r="CC99" s="1119"/>
      <c r="CD99" s="1119"/>
      <c r="CE99" s="1119"/>
      <c r="CF99" s="1119"/>
      <c r="CG99" s="1119"/>
      <c r="CH99" s="1119"/>
      <c r="CI99" s="1119"/>
      <c r="CJ99" s="1119"/>
      <c r="CK99" s="1119"/>
      <c r="CL99" s="1119"/>
      <c r="CM99" s="1119"/>
      <c r="CN99" s="1119"/>
      <c r="CO99" s="1119"/>
      <c r="CP99" s="1119"/>
      <c r="CQ99" s="1119"/>
      <c r="CR99" s="1119"/>
      <c r="CS99" s="1119"/>
      <c r="CT99" s="1119"/>
      <c r="CU99" s="1119"/>
      <c r="CV99" s="1119"/>
      <c r="CW99" s="1119"/>
      <c r="CX99" s="1119"/>
      <c r="CY99" s="1119"/>
      <c r="CZ99" s="1119"/>
      <c r="DA99" s="1119"/>
      <c r="DB99" s="1119"/>
      <c r="DC99" s="1119"/>
      <c r="DD99" s="1119"/>
      <c r="DE99" s="1119"/>
      <c r="DF99" s="1119"/>
      <c r="DG99" s="1119"/>
      <c r="DH99" s="1119"/>
      <c r="DI99" s="1119"/>
      <c r="DJ99" s="1119"/>
      <c r="DK99" s="1119"/>
      <c r="DL99" s="1119"/>
      <c r="DM99" s="1119"/>
      <c r="DN99" s="1119"/>
      <c r="DO99" s="1119"/>
      <c r="DP99" s="1119"/>
      <c r="DQ99" s="1119"/>
      <c r="DR99" s="1119"/>
      <c r="DS99" s="1119"/>
      <c r="DT99" s="1119"/>
      <c r="DU99" s="1119"/>
      <c r="DV99" s="1119"/>
      <c r="DW99" s="1119"/>
      <c r="DX99" s="1119"/>
      <c r="DY99" s="1119"/>
      <c r="DZ99" s="1119"/>
      <c r="EA99" s="1119"/>
      <c r="EB99" s="1119"/>
      <c r="EC99" s="1119"/>
      <c r="ED99" s="1119"/>
      <c r="EE99" s="1119"/>
      <c r="EF99" s="1119"/>
      <c r="EG99" s="1119"/>
      <c r="EH99" s="1119"/>
      <c r="EI99" s="1119"/>
      <c r="EJ99" s="1119"/>
      <c r="EK99" s="1119"/>
      <c r="EL99" s="1119"/>
      <c r="EM99" s="1119"/>
      <c r="EN99" s="1119"/>
      <c r="EO99" s="1119"/>
      <c r="EP99" s="1119"/>
      <c r="EQ99" s="1119"/>
      <c r="ER99" s="1119"/>
      <c r="ES99" s="1119"/>
      <c r="ET99" s="1119"/>
      <c r="EU99" s="1119"/>
      <c r="EV99" s="1119"/>
      <c r="EW99" s="1119"/>
      <c r="EX99" s="1119"/>
      <c r="EY99" s="1119"/>
      <c r="EZ99" s="1119"/>
      <c r="FA99" s="1119"/>
      <c r="FB99" s="1119"/>
      <c r="FC99" s="1119"/>
      <c r="FD99" s="1119"/>
      <c r="FE99" s="1119"/>
      <c r="FF99" s="1119"/>
      <c r="FG99" s="1119"/>
      <c r="FH99" s="1119"/>
      <c r="FI99" s="1119"/>
      <c r="FJ99" s="1119"/>
      <c r="FK99" s="1119"/>
      <c r="FL99" s="1119"/>
      <c r="FM99" s="1119"/>
      <c r="FN99" s="1119"/>
      <c r="FO99" s="1119"/>
      <c r="FP99" s="1119"/>
      <c r="FQ99" s="1119"/>
      <c r="FR99" s="1119"/>
      <c r="FS99" s="1119"/>
      <c r="FT99" s="1119"/>
      <c r="FU99" s="1119"/>
      <c r="FV99" s="1119"/>
      <c r="FW99" s="1120"/>
      <c r="FX99" s="1121"/>
      <c r="FY99" s="853"/>
      <c r="FZ99" s="853"/>
      <c r="GA99" s="853"/>
      <c r="GB99" s="853"/>
    </row>
    <row r="101" spans="1:184" s="1736" customFormat="1" ht="11.25" customHeight="1">
      <c r="A101" s="1736" t="s">
        <v>414</v>
      </c>
    </row>
    <row r="103" spans="1:184" s="1807" customFormat="1" ht="15" hidden="1" customHeight="1">
      <c r="A103" s="540"/>
      <c r="B103"/>
      <c r="C103"/>
      <c r="D103" s="2003" t="s">
        <v>109</v>
      </c>
      <c r="E103" s="2006" t="s">
        <v>105</v>
      </c>
      <c r="F103" s="2007"/>
      <c r="G103" s="2008"/>
      <c r="H103" s="2009" t="str">
        <f>IF(A103="","",INDEX(DIFFERENTIATION_UNMERGE_VD,MATCH(A103,DIFFERENTIATION_ID_DIFF,0)))</f>
        <v/>
      </c>
      <c r="I103" s="2009"/>
      <c r="J103" s="2009"/>
      <c r="K103" s="2009"/>
      <c r="L103" s="2009"/>
      <c r="M103" s="2009"/>
      <c r="N103" s="2009"/>
      <c r="O103" s="2009"/>
      <c r="P103" s="2009"/>
      <c r="Q103" s="2009"/>
      <c r="R103" s="2009"/>
      <c r="S103" s="634"/>
      <c r="T103" s="631"/>
      <c r="U103" s="541"/>
      <c r="V103" s="541"/>
      <c r="W103" s="542"/>
      <c r="X103" s="542"/>
      <c r="Y103" s="542"/>
      <c r="Z103" s="542"/>
      <c r="AA103" s="543"/>
      <c r="AB103" s="544"/>
      <c r="AC103" s="2018"/>
      <c r="AD103" s="545"/>
      <c r="AE103" s="546" t="s">
        <v>18</v>
      </c>
      <c r="AF103" s="546"/>
      <c r="AG103" s="547" t="s">
        <v>415</v>
      </c>
      <c r="AH103" s="548">
        <v>3</v>
      </c>
      <c r="AI103" s="541"/>
      <c r="AJ103" s="541"/>
      <c r="AK103" s="541"/>
      <c r="AL103" s="541"/>
      <c r="AM103" s="541"/>
      <c r="AN103" s="541"/>
      <c r="AO103" s="541"/>
      <c r="AP103" s="541"/>
      <c r="AQ103" s="541"/>
      <c r="AR103" s="541"/>
      <c r="AS103" s="541"/>
      <c r="AT103" s="541"/>
      <c r="AU103" s="541"/>
      <c r="AV103" s="541"/>
      <c r="AW103" s="541"/>
      <c r="AX103" s="541"/>
      <c r="AY103" s="541"/>
      <c r="AZ103" s="541"/>
      <c r="BA103" s="541"/>
      <c r="BB103" s="541"/>
      <c r="BC103" s="541"/>
      <c r="BD103" s="541"/>
      <c r="BE103" s="541"/>
      <c r="BF103" s="541"/>
      <c r="BG103" s="541"/>
      <c r="BH103" s="541"/>
      <c r="BI103" s="541"/>
      <c r="BJ103" s="541"/>
      <c r="BK103" s="541"/>
      <c r="BL103" s="541"/>
      <c r="BM103" s="541"/>
      <c r="BN103" s="541"/>
      <c r="BO103" s="541"/>
      <c r="BP103" s="541"/>
      <c r="BQ103" s="541"/>
      <c r="BR103" s="541"/>
      <c r="BS103" s="541"/>
      <c r="BT103" s="541"/>
      <c r="BU103" s="541"/>
      <c r="BV103" s="542"/>
      <c r="BW103" s="542"/>
      <c r="BX103" s="542"/>
      <c r="BY103" s="542"/>
      <c r="BZ103" s="542"/>
      <c r="CA103" s="542"/>
      <c r="CB103" s="542"/>
      <c r="CC103" s="542"/>
      <c r="CD103" s="542"/>
      <c r="CE103" s="542"/>
    </row>
    <row r="104" spans="1:184" s="1807" customFormat="1" ht="15" hidden="1" customHeight="1">
      <c r="A104" s="540"/>
      <c r="B104"/>
      <c r="C104"/>
      <c r="D104" s="2004"/>
      <c r="E104" s="2006" t="s">
        <v>416</v>
      </c>
      <c r="F104" s="2007"/>
      <c r="G104" s="2008"/>
      <c r="H104" s="2009" t="str">
        <f>IF(A103="","",INDEX(DIFFERENTIATION_UNMERGE_AREA,MATCH(A103,DIFFERENTIATION_ID_DIFF,0)))</f>
        <v/>
      </c>
      <c r="I104" s="2009"/>
      <c r="J104" s="2009"/>
      <c r="K104" s="2009"/>
      <c r="L104" s="2009"/>
      <c r="M104" s="2009"/>
      <c r="N104" s="2009"/>
      <c r="O104" s="2009"/>
      <c r="P104" s="2009"/>
      <c r="Q104" s="2009"/>
      <c r="R104" s="2009"/>
      <c r="S104" s="634"/>
      <c r="T104" s="631"/>
      <c r="U104" s="541"/>
      <c r="V104" s="541"/>
      <c r="W104" s="542"/>
      <c r="X104" s="542"/>
      <c r="Y104" s="542"/>
      <c r="Z104" s="542"/>
      <c r="AA104" s="543"/>
      <c r="AB104" s="544"/>
      <c r="AC104" s="2018"/>
      <c r="AD104" s="545"/>
      <c r="AE104" s="546"/>
      <c r="AF104" s="546"/>
      <c r="AG104" s="547"/>
      <c r="AH104" s="548"/>
      <c r="AI104" s="541"/>
      <c r="AJ104" s="541"/>
      <c r="AK104" s="541"/>
      <c r="AL104" s="541"/>
      <c r="AM104" s="541"/>
      <c r="AN104" s="541"/>
      <c r="AO104" s="541"/>
      <c r="AP104" s="541"/>
      <c r="AQ104" s="541"/>
      <c r="AR104" s="541"/>
      <c r="AS104" s="541"/>
      <c r="AT104" s="541"/>
      <c r="AU104" s="541"/>
      <c r="AV104" s="541"/>
      <c r="AW104" s="541"/>
      <c r="AX104" s="541"/>
      <c r="AY104" s="541"/>
      <c r="AZ104" s="541"/>
      <c r="BA104" s="541"/>
      <c r="BB104" s="541"/>
      <c r="BC104" s="541"/>
      <c r="BD104" s="541"/>
      <c r="BE104" s="541"/>
      <c r="BF104" s="541"/>
      <c r="BG104" s="541"/>
      <c r="BH104" s="541"/>
      <c r="BI104" s="541"/>
      <c r="BJ104" s="541"/>
      <c r="BK104" s="541"/>
      <c r="BL104" s="541"/>
      <c r="BM104" s="541"/>
      <c r="BN104" s="541"/>
      <c r="BO104" s="541"/>
      <c r="BP104" s="541"/>
      <c r="BQ104" s="541"/>
      <c r="BR104" s="541"/>
      <c r="BS104" s="541"/>
      <c r="BT104" s="541"/>
      <c r="BU104" s="541"/>
      <c r="BV104" s="542"/>
      <c r="BW104" s="542"/>
      <c r="BX104" s="542"/>
      <c r="BY104" s="542"/>
      <c r="BZ104" s="542"/>
      <c r="CA104" s="542"/>
      <c r="CB104" s="542"/>
      <c r="CC104" s="542"/>
      <c r="CD104" s="542"/>
      <c r="CE104" s="542"/>
    </row>
    <row r="105" spans="1:184" s="1807" customFormat="1" ht="15" hidden="1" customHeight="1">
      <c r="A105" s="540"/>
      <c r="B105"/>
      <c r="C105"/>
      <c r="D105" s="2004"/>
      <c r="E105" s="2006" t="s">
        <v>417</v>
      </c>
      <c r="F105" s="2007"/>
      <c r="G105" s="2008"/>
      <c r="H105" s="2009" t="str">
        <f>IF(A103="","",INDEX(DIFFERENTIATION_UNMERGE_SYSTEM,MATCH(A103,DIFFERENTIATION_ID_DIFF,0)))</f>
        <v/>
      </c>
      <c r="I105" s="2009"/>
      <c r="J105" s="2009"/>
      <c r="K105" s="2009"/>
      <c r="L105" s="2009"/>
      <c r="M105" s="2009"/>
      <c r="N105" s="2009"/>
      <c r="O105" s="2009"/>
      <c r="P105" s="2009"/>
      <c r="Q105" s="2009"/>
      <c r="R105" s="2009"/>
      <c r="S105" s="634"/>
      <c r="T105" s="631"/>
      <c r="U105" s="541"/>
      <c r="V105" s="541"/>
      <c r="W105" s="542"/>
      <c r="X105" s="542"/>
      <c r="Y105" s="542"/>
      <c r="Z105" s="542"/>
      <c r="AA105" s="543"/>
      <c r="AB105" s="544"/>
      <c r="AC105" s="2018"/>
      <c r="AD105" s="545"/>
      <c r="AE105" s="546"/>
      <c r="AF105" s="546"/>
      <c r="AG105" s="547"/>
      <c r="AH105" s="548"/>
      <c r="AI105" s="541"/>
      <c r="AJ105" s="541"/>
      <c r="AK105" s="541"/>
      <c r="AL105" s="541"/>
      <c r="AM105" s="541"/>
      <c r="AN105" s="541"/>
      <c r="AO105" s="541"/>
      <c r="AP105" s="541"/>
      <c r="AQ105" s="541"/>
      <c r="AR105" s="541"/>
      <c r="AS105" s="541"/>
      <c r="AT105" s="541"/>
      <c r="AU105" s="541"/>
      <c r="AV105" s="541"/>
      <c r="AW105" s="541"/>
      <c r="AX105" s="541"/>
      <c r="AY105" s="541"/>
      <c r="AZ105" s="541"/>
      <c r="BA105" s="541"/>
      <c r="BB105" s="541"/>
      <c r="BC105" s="541"/>
      <c r="BD105" s="541"/>
      <c r="BE105" s="541"/>
      <c r="BF105" s="541"/>
      <c r="BG105" s="541"/>
      <c r="BH105" s="541"/>
      <c r="BI105" s="541"/>
      <c r="BJ105" s="541"/>
      <c r="BK105" s="541"/>
      <c r="BL105" s="541"/>
      <c r="BM105" s="541"/>
      <c r="BN105" s="541"/>
      <c r="BO105" s="541"/>
      <c r="BP105" s="541"/>
      <c r="BQ105" s="541"/>
      <c r="BR105" s="541"/>
      <c r="BS105" s="541"/>
      <c r="BT105" s="541"/>
      <c r="BU105" s="541"/>
      <c r="BV105" s="542"/>
      <c r="BW105" s="542"/>
      <c r="BX105" s="542"/>
      <c r="BY105" s="542"/>
      <c r="BZ105" s="542"/>
      <c r="CA105" s="542"/>
      <c r="CB105" s="542"/>
      <c r="CC105" s="542"/>
      <c r="CD105" s="542"/>
      <c r="CE105" s="542"/>
    </row>
    <row r="106" spans="1:184" s="1807" customFormat="1" ht="24.75" hidden="1" customHeight="1">
      <c r="A106" s="1727"/>
      <c r="B106" s="1062"/>
      <c r="C106" s="342"/>
      <c r="D106" s="2004"/>
      <c r="E106" s="2024" t="s">
        <v>418</v>
      </c>
      <c r="F106" s="2024"/>
      <c r="G106" s="2024"/>
      <c r="H106" s="2024"/>
      <c r="I106" s="2024"/>
      <c r="J106" s="2024"/>
      <c r="K106" s="2024"/>
      <c r="L106" s="2024"/>
      <c r="M106" s="2024"/>
      <c r="N106" s="2024"/>
      <c r="O106" s="2024"/>
      <c r="P106" s="2024"/>
      <c r="Q106" s="480">
        <f>SUMIF(T107:T108,"i",Q107:Q108)</f>
        <v>0</v>
      </c>
      <c r="R106" s="925"/>
      <c r="S106" s="1719" t="s">
        <v>419</v>
      </c>
      <c r="T106" s="632" t="s">
        <v>420</v>
      </c>
      <c r="U106" s="1995">
        <v>1</v>
      </c>
      <c r="V106" s="1995" t="s">
        <v>421</v>
      </c>
      <c r="W106" s="1062"/>
      <c r="X106" s="1062"/>
      <c r="Y106" s="1062"/>
      <c r="Z106" s="1062"/>
      <c r="AA106" s="1553"/>
      <c r="AB106" s="1062"/>
      <c r="AC106" s="2018"/>
      <c r="AD106" s="545"/>
      <c r="AE106" s="1062"/>
      <c r="AF106" s="1062"/>
      <c r="AG106" s="1553"/>
      <c r="AH106" s="1553"/>
      <c r="AI106" s="1553"/>
      <c r="AJ106" s="1553"/>
      <c r="AK106" s="1553"/>
      <c r="AL106" s="1553"/>
      <c r="AM106" s="1553"/>
      <c r="AN106" s="1553"/>
      <c r="AO106" s="1553"/>
      <c r="AP106" s="1553"/>
      <c r="AQ106" s="1553"/>
      <c r="AR106" s="1553"/>
      <c r="AS106" s="1553"/>
      <c r="AT106" s="1553"/>
      <c r="AU106" s="1553"/>
      <c r="AV106" s="1553"/>
      <c r="AW106" s="1553"/>
      <c r="AX106" s="1553"/>
      <c r="AY106" s="1553"/>
      <c r="AZ106" s="1553"/>
      <c r="BA106" s="1553"/>
      <c r="BB106" s="1553"/>
      <c r="BC106" s="1553"/>
      <c r="BD106" s="1553"/>
      <c r="BE106" s="1553"/>
      <c r="BF106" s="1553"/>
      <c r="BG106" s="1553"/>
      <c r="BH106" s="1553"/>
      <c r="BI106" s="1553"/>
      <c r="BJ106" s="1553"/>
      <c r="BK106" s="1553"/>
      <c r="BL106" s="1553"/>
      <c r="BM106" s="1553"/>
      <c r="BN106" s="1553"/>
      <c r="BO106" s="1553"/>
      <c r="BP106" s="1553"/>
      <c r="BQ106" s="1553"/>
      <c r="BR106" s="1553"/>
      <c r="BS106" s="1553"/>
      <c r="BT106" s="1553"/>
      <c r="BU106" s="1553"/>
      <c r="BV106" s="1062"/>
      <c r="BW106" s="1062"/>
      <c r="BX106" s="1062"/>
      <c r="BY106" s="1062"/>
      <c r="BZ106" s="1062"/>
      <c r="CA106" s="1062"/>
      <c r="CB106" s="1062"/>
      <c r="CC106" s="1062"/>
      <c r="CD106" s="1062"/>
      <c r="CE106" s="1062"/>
    </row>
    <row r="107" spans="1:184" s="1807" customFormat="1" ht="11.25" hidden="1" customHeight="1">
      <c r="A107" s="1714"/>
      <c r="B107" s="1553"/>
      <c r="C107" s="1553"/>
      <c r="D107" s="2004"/>
      <c r="E107" s="551"/>
      <c r="F107" s="551">
        <v>0</v>
      </c>
      <c r="G107" s="551"/>
      <c r="H107" s="551"/>
      <c r="I107" s="551"/>
      <c r="J107" s="551"/>
      <c r="K107" s="551"/>
      <c r="L107" s="551"/>
      <c r="M107" s="551"/>
      <c r="N107" s="551"/>
      <c r="O107" s="551"/>
      <c r="P107" s="551"/>
      <c r="Q107" s="551"/>
      <c r="R107" s="551"/>
      <c r="S107" s="552"/>
      <c r="T107" s="633"/>
      <c r="U107" s="1995"/>
      <c r="V107" s="1995"/>
      <c r="W107" s="1553"/>
      <c r="X107" s="1553"/>
      <c r="Y107" s="1553"/>
      <c r="Z107" s="1553"/>
      <c r="AA107" s="1553"/>
      <c r="AB107" s="1062"/>
      <c r="AC107" s="2018"/>
      <c r="AD107" s="545"/>
      <c r="AE107" s="1062"/>
      <c r="AF107" s="1062"/>
      <c r="AG107" s="1553"/>
      <c r="AH107" s="1553"/>
      <c r="AI107" s="1553"/>
      <c r="AJ107" s="1553"/>
      <c r="AK107" s="1553"/>
      <c r="AL107" s="1553"/>
      <c r="AM107" s="1553"/>
      <c r="AN107" s="1553"/>
      <c r="AO107" s="1553"/>
      <c r="AP107" s="1553"/>
      <c r="AQ107" s="1553"/>
      <c r="AR107" s="1553"/>
      <c r="AS107" s="1553"/>
      <c r="AT107" s="1553"/>
      <c r="AU107" s="1553"/>
      <c r="AV107" s="1553"/>
      <c r="AW107" s="1553"/>
      <c r="AX107" s="1553"/>
      <c r="AY107" s="1553"/>
      <c r="AZ107" s="1553"/>
      <c r="BA107" s="1553"/>
      <c r="BB107" s="1553"/>
      <c r="BC107" s="1553"/>
      <c r="BD107" s="1553"/>
      <c r="BE107" s="1553"/>
      <c r="BF107" s="1553"/>
      <c r="BG107" s="1553"/>
      <c r="BH107" s="1553"/>
      <c r="BI107" s="1553"/>
      <c r="BJ107" s="1553"/>
      <c r="BK107" s="1553"/>
      <c r="BL107" s="1553"/>
      <c r="BM107" s="1553"/>
      <c r="BN107" s="1553"/>
      <c r="BO107" s="1553"/>
      <c r="BP107" s="1553"/>
      <c r="BQ107" s="1553"/>
      <c r="BR107" s="1553"/>
      <c r="BS107" s="1553"/>
      <c r="BT107" s="1553"/>
      <c r="BU107" s="1553"/>
      <c r="BV107" s="1553"/>
      <c r="BW107" s="1553"/>
      <c r="BX107" s="1553"/>
      <c r="BY107" s="1553"/>
      <c r="BZ107" s="1553"/>
      <c r="CA107" s="1553"/>
      <c r="CB107" s="1553"/>
      <c r="CC107" s="1553"/>
      <c r="CD107" s="1553"/>
      <c r="CE107" s="1553"/>
    </row>
    <row r="108" spans="1:184" s="1807" customFormat="1" ht="11.25" hidden="1" customHeight="1">
      <c r="A108" s="1727"/>
      <c r="B108" s="1062"/>
      <c r="C108" s="342"/>
      <c r="D108" s="2004"/>
      <c r="E108" s="565" t="s">
        <v>18</v>
      </c>
      <c r="F108" s="1070" t="s">
        <v>18</v>
      </c>
      <c r="G108" s="1070" t="s">
        <v>422</v>
      </c>
      <c r="H108" s="567" t="s">
        <v>18</v>
      </c>
      <c r="I108" s="567"/>
      <c r="J108" s="567"/>
      <c r="K108" s="567"/>
      <c r="L108" s="567"/>
      <c r="M108" s="567"/>
      <c r="N108" s="567"/>
      <c r="O108" s="567"/>
      <c r="P108" s="567"/>
      <c r="Q108" s="567"/>
      <c r="R108" s="568"/>
      <c r="S108" s="569"/>
      <c r="T108" s="633"/>
      <c r="U108" s="1995"/>
      <c r="V108" s="1995"/>
      <c r="W108" s="1062"/>
      <c r="X108" s="1062"/>
      <c r="Y108" s="1062"/>
      <c r="Z108" s="1062"/>
      <c r="AA108" s="1553"/>
      <c r="AB108" s="1062"/>
      <c r="AC108" s="2018"/>
      <c r="AD108" s="545"/>
      <c r="AE108" s="1062"/>
      <c r="AF108" s="1062"/>
      <c r="AG108" s="1553"/>
      <c r="AH108" s="1553"/>
      <c r="AI108" s="1553"/>
      <c r="AJ108" s="1553"/>
      <c r="AK108" s="1553"/>
      <c r="AL108" s="1553"/>
      <c r="AM108" s="1553"/>
      <c r="AN108" s="1553"/>
      <c r="AO108" s="1553"/>
      <c r="AP108" s="1553"/>
      <c r="AQ108" s="1553"/>
      <c r="AR108" s="1553"/>
      <c r="AS108" s="1553"/>
      <c r="AT108" s="1553"/>
      <c r="AU108" s="1553"/>
      <c r="AV108" s="1553"/>
      <c r="AW108" s="1553"/>
      <c r="AX108" s="1553"/>
      <c r="AY108" s="1553"/>
      <c r="AZ108" s="1553"/>
      <c r="BA108" s="1553"/>
      <c r="BB108" s="1553"/>
      <c r="BC108" s="1553"/>
      <c r="BD108" s="1553"/>
      <c r="BE108" s="1553"/>
      <c r="BF108" s="1553"/>
      <c r="BG108" s="1553"/>
      <c r="BH108" s="1553"/>
      <c r="BI108" s="1553"/>
      <c r="BJ108" s="1553"/>
      <c r="BK108" s="1553"/>
      <c r="BL108" s="1553"/>
      <c r="BM108" s="1553"/>
      <c r="BN108" s="1553"/>
      <c r="BO108" s="1553"/>
      <c r="BP108" s="1553"/>
      <c r="BQ108" s="1553"/>
      <c r="BR108" s="1553"/>
      <c r="BS108" s="1553"/>
      <c r="BT108" s="1553"/>
      <c r="BU108" s="1553"/>
      <c r="BV108" s="1062"/>
      <c r="BW108" s="1062"/>
      <c r="BX108" s="1062"/>
      <c r="BY108" s="1062"/>
      <c r="BZ108" s="1062"/>
      <c r="CA108" s="1062"/>
      <c r="CB108" s="1062"/>
      <c r="CC108" s="1062"/>
      <c r="CD108" s="1062"/>
      <c r="CE108" s="1062"/>
    </row>
    <row r="109" spans="1:184" s="1807" customFormat="1" ht="24.75" hidden="1" customHeight="1">
      <c r="A109" s="1727"/>
      <c r="B109" s="1062"/>
      <c r="C109" s="342"/>
      <c r="D109" s="2004"/>
      <c r="E109" s="2024" t="s">
        <v>423</v>
      </c>
      <c r="F109" s="2024"/>
      <c r="G109" s="2024"/>
      <c r="H109" s="2024"/>
      <c r="I109" s="2024"/>
      <c r="J109" s="2024"/>
      <c r="K109" s="2024"/>
      <c r="L109" s="2024"/>
      <c r="M109" s="2024"/>
      <c r="N109" s="2024"/>
      <c r="O109" s="2024"/>
      <c r="P109" s="2024"/>
      <c r="Q109" s="480">
        <f>SUMIF(T110:T111,"i",Q110:Q111)</f>
        <v>0</v>
      </c>
      <c r="R109" s="925"/>
      <c r="S109" s="1719" t="s">
        <v>424</v>
      </c>
      <c r="T109" s="632" t="s">
        <v>420</v>
      </c>
      <c r="U109" s="1995">
        <v>1</v>
      </c>
      <c r="V109" s="1995" t="s">
        <v>421</v>
      </c>
      <c r="W109" s="1062"/>
      <c r="X109" s="1062"/>
      <c r="Y109" s="1062"/>
      <c r="Z109" s="1062"/>
      <c r="AA109" s="1553"/>
      <c r="AB109" s="1062"/>
      <c r="AC109" s="1717"/>
      <c r="AD109" s="545"/>
      <c r="AE109" s="1062"/>
      <c r="AF109" s="1062"/>
      <c r="AG109" s="1553"/>
      <c r="AH109" s="1553"/>
      <c r="AI109" s="1553"/>
      <c r="AJ109" s="1553"/>
      <c r="AK109" s="1553"/>
      <c r="AL109" s="1553"/>
      <c r="AM109" s="1553"/>
      <c r="AN109" s="1553"/>
      <c r="AO109" s="1553"/>
      <c r="AP109" s="1553"/>
      <c r="AQ109" s="1553"/>
      <c r="AR109" s="1553"/>
      <c r="AS109" s="1553"/>
      <c r="AT109" s="1553"/>
      <c r="AU109" s="1553"/>
      <c r="AV109" s="1553"/>
      <c r="AW109" s="1553"/>
      <c r="AX109" s="1553"/>
      <c r="AY109" s="1553"/>
      <c r="AZ109" s="1553"/>
      <c r="BA109" s="1553"/>
      <c r="BB109" s="1553"/>
      <c r="BC109" s="1553"/>
      <c r="BD109" s="1553"/>
      <c r="BE109" s="1553"/>
      <c r="BF109" s="1553"/>
      <c r="BG109" s="1553"/>
      <c r="BH109" s="1553"/>
      <c r="BI109" s="1553"/>
      <c r="BJ109" s="1553"/>
      <c r="BK109" s="1553"/>
      <c r="BL109" s="1553"/>
      <c r="BM109" s="1553"/>
      <c r="BN109" s="1553"/>
      <c r="BO109" s="1553"/>
      <c r="BP109" s="1553"/>
      <c r="BQ109" s="1553"/>
      <c r="BR109" s="1553"/>
      <c r="BS109" s="1553"/>
      <c r="BT109" s="1553"/>
      <c r="BU109" s="1553"/>
      <c r="BV109" s="1062"/>
      <c r="BW109" s="1062"/>
      <c r="BX109" s="1062"/>
      <c r="BY109" s="1062"/>
      <c r="BZ109" s="1062"/>
      <c r="CA109" s="1062"/>
      <c r="CB109" s="1062"/>
      <c r="CC109" s="1062"/>
      <c r="CD109" s="1062"/>
      <c r="CE109" s="1062"/>
    </row>
    <row r="110" spans="1:184" s="1807" customFormat="1" ht="11.25" hidden="1" customHeight="1">
      <c r="A110" s="1714"/>
      <c r="B110" s="1553"/>
      <c r="C110" s="1553"/>
      <c r="D110" s="2004"/>
      <c r="E110" s="551"/>
      <c r="F110" s="551">
        <v>0</v>
      </c>
      <c r="G110" s="551"/>
      <c r="H110" s="551"/>
      <c r="I110" s="551"/>
      <c r="J110" s="551"/>
      <c r="K110" s="551"/>
      <c r="L110" s="551"/>
      <c r="M110" s="551"/>
      <c r="N110" s="551"/>
      <c r="O110" s="551"/>
      <c r="P110" s="551"/>
      <c r="Q110" s="551"/>
      <c r="R110" s="551"/>
      <c r="S110" s="552"/>
      <c r="T110" s="633"/>
      <c r="U110" s="1995"/>
      <c r="V110" s="1995"/>
      <c r="W110" s="1553"/>
      <c r="X110" s="1553"/>
      <c r="Y110" s="1553"/>
      <c r="Z110" s="1553"/>
      <c r="AA110" s="1553"/>
      <c r="AB110" s="1062"/>
      <c r="AC110" s="1717"/>
      <c r="AD110" s="545"/>
      <c r="AE110" s="1062"/>
      <c r="AF110" s="1062"/>
      <c r="AG110" s="1553"/>
      <c r="AH110" s="1553"/>
      <c r="AI110" s="1553"/>
      <c r="AJ110" s="1553"/>
      <c r="AK110" s="1553"/>
      <c r="AL110" s="1553"/>
      <c r="AM110" s="1553"/>
      <c r="AN110" s="1553"/>
      <c r="AO110" s="1553"/>
      <c r="AP110" s="1553"/>
      <c r="AQ110" s="1553"/>
      <c r="AR110" s="1553"/>
      <c r="AS110" s="1553"/>
      <c r="AT110" s="1553"/>
      <c r="AU110" s="1553"/>
      <c r="AV110" s="1553"/>
      <c r="AW110" s="1553"/>
      <c r="AX110" s="1553"/>
      <c r="AY110" s="1553"/>
      <c r="AZ110" s="1553"/>
      <c r="BA110" s="1553"/>
      <c r="BB110" s="1553"/>
      <c r="BC110" s="1553"/>
      <c r="BD110" s="1553"/>
      <c r="BE110" s="1553"/>
      <c r="BF110" s="1553"/>
      <c r="BG110" s="1553"/>
      <c r="BH110" s="1553"/>
      <c r="BI110" s="1553"/>
      <c r="BJ110" s="1553"/>
      <c r="BK110" s="1553"/>
      <c r="BL110" s="1553"/>
      <c r="BM110" s="1553"/>
      <c r="BN110" s="1553"/>
      <c r="BO110" s="1553"/>
      <c r="BP110" s="1553"/>
      <c r="BQ110" s="1553"/>
      <c r="BR110" s="1553"/>
      <c r="BS110" s="1553"/>
      <c r="BT110" s="1553"/>
      <c r="BU110" s="1553"/>
      <c r="BV110" s="1553"/>
      <c r="BW110" s="1553"/>
      <c r="BX110" s="1553"/>
      <c r="BY110" s="1553"/>
      <c r="BZ110" s="1553"/>
      <c r="CA110" s="1553"/>
      <c r="CB110" s="1553"/>
      <c r="CC110" s="1553"/>
      <c r="CD110" s="1553"/>
      <c r="CE110" s="1553"/>
    </row>
    <row r="111" spans="1:184" s="1807" customFormat="1" ht="11.25" hidden="1" customHeight="1">
      <c r="A111" s="1727"/>
      <c r="B111" s="1062"/>
      <c r="C111" s="342"/>
      <c r="D111" s="2005"/>
      <c r="E111" s="565" t="s">
        <v>18</v>
      </c>
      <c r="F111" s="1070" t="s">
        <v>18</v>
      </c>
      <c r="G111" s="1070" t="s">
        <v>422</v>
      </c>
      <c r="H111" s="567" t="s">
        <v>18</v>
      </c>
      <c r="I111" s="567"/>
      <c r="J111" s="567"/>
      <c r="K111" s="567"/>
      <c r="L111" s="567"/>
      <c r="M111" s="567"/>
      <c r="N111" s="567"/>
      <c r="O111" s="567"/>
      <c r="P111" s="567"/>
      <c r="Q111" s="567"/>
      <c r="R111" s="568"/>
      <c r="S111" s="569"/>
      <c r="T111" s="633"/>
      <c r="U111" s="1995"/>
      <c r="V111" s="1995"/>
      <c r="W111" s="1062"/>
      <c r="X111" s="1062"/>
      <c r="Y111" s="1062"/>
      <c r="Z111" s="1062"/>
      <c r="AA111" s="1553"/>
      <c r="AB111" s="1062"/>
      <c r="AC111" s="1717"/>
      <c r="AD111" s="545"/>
      <c r="AE111" s="1062"/>
      <c r="AF111" s="1062"/>
      <c r="AG111" s="1553"/>
      <c r="AH111" s="1553"/>
      <c r="AI111" s="1553"/>
      <c r="AJ111" s="1553"/>
      <c r="AK111" s="1553"/>
      <c r="AL111" s="1553"/>
      <c r="AM111" s="1553"/>
      <c r="AN111" s="1553"/>
      <c r="AO111" s="1553"/>
      <c r="AP111" s="1553"/>
      <c r="AQ111" s="1553"/>
      <c r="AR111" s="1553"/>
      <c r="AS111" s="1553"/>
      <c r="AT111" s="1553"/>
      <c r="AU111" s="1553"/>
      <c r="AV111" s="1553"/>
      <c r="AW111" s="1553"/>
      <c r="AX111" s="1553"/>
      <c r="AY111" s="1553"/>
      <c r="AZ111" s="1553"/>
      <c r="BA111" s="1553"/>
      <c r="BB111" s="1553"/>
      <c r="BC111" s="1553"/>
      <c r="BD111" s="1553"/>
      <c r="BE111" s="1553"/>
      <c r="BF111" s="1553"/>
      <c r="BG111" s="1553"/>
      <c r="BH111" s="1553"/>
      <c r="BI111" s="1553"/>
      <c r="BJ111" s="1553"/>
      <c r="BK111" s="1553"/>
      <c r="BL111" s="1553"/>
      <c r="BM111" s="1553"/>
      <c r="BN111" s="1553"/>
      <c r="BO111" s="1553"/>
      <c r="BP111" s="1553"/>
      <c r="BQ111" s="1553"/>
      <c r="BR111" s="1553"/>
      <c r="BS111" s="1553"/>
      <c r="BT111" s="1553"/>
      <c r="BU111" s="1553"/>
      <c r="BV111" s="1062"/>
      <c r="BW111" s="1062"/>
      <c r="BX111" s="1062"/>
      <c r="BY111" s="1062"/>
      <c r="BZ111" s="1062"/>
      <c r="CA111" s="1062"/>
      <c r="CB111" s="1062"/>
      <c r="CC111" s="1062"/>
      <c r="CD111" s="1062"/>
      <c r="CE111" s="1062"/>
    </row>
    <row r="113" spans="1:83" s="1736" customFormat="1" ht="11.25" customHeight="1">
      <c r="A113" s="1736" t="s">
        <v>425</v>
      </c>
    </row>
    <row r="115" spans="1:83" s="1807" customFormat="1" ht="15" customHeight="1">
      <c r="A115" s="540"/>
      <c r="B115"/>
      <c r="C115"/>
      <c r="D115" s="2003" t="s">
        <v>109</v>
      </c>
      <c r="E115" s="2006" t="s">
        <v>105</v>
      </c>
      <c r="F115" s="2007"/>
      <c r="G115" s="2008"/>
      <c r="H115" s="2009" t="str">
        <f>IF(A115="","",INDEX(DIFFERENTIATION_UNMERGE_VD,MATCH(A115,DIFFERENTIATION_ID_DIFF,0)))</f>
        <v/>
      </c>
      <c r="I115" s="2009"/>
      <c r="J115" s="2009"/>
      <c r="K115" s="2009"/>
      <c r="L115" s="2009"/>
      <c r="M115" s="2009"/>
      <c r="N115" s="2009"/>
      <c r="O115" s="2009"/>
      <c r="P115" s="2009"/>
      <c r="Q115" s="2009"/>
      <c r="R115" s="2009"/>
      <c r="S115" s="634"/>
      <c r="T115" s="631"/>
      <c r="U115" s="541"/>
      <c r="V115" s="541"/>
      <c r="W115" s="542"/>
      <c r="X115" s="542"/>
      <c r="Y115" s="542"/>
      <c r="Z115" s="542"/>
      <c r="AA115" s="543"/>
      <c r="AB115" s="544"/>
      <c r="AC115" s="2018"/>
      <c r="AD115" s="545"/>
      <c r="AE115" s="546" t="s">
        <v>18</v>
      </c>
      <c r="AF115" s="546"/>
      <c r="AG115" s="547" t="s">
        <v>415</v>
      </c>
      <c r="AH115" s="548">
        <v>3</v>
      </c>
      <c r="AI115" s="541"/>
      <c r="AJ115" s="541"/>
      <c r="AK115" s="541"/>
      <c r="AL115" s="541"/>
      <c r="AM115" s="541"/>
      <c r="AN115" s="541"/>
      <c r="AO115" s="541"/>
      <c r="AP115" s="541"/>
      <c r="AQ115" s="541"/>
      <c r="AR115" s="541"/>
      <c r="AS115" s="541"/>
      <c r="AT115" s="541"/>
      <c r="AU115" s="541"/>
      <c r="AV115" s="541"/>
      <c r="AW115" s="541"/>
      <c r="AX115" s="541"/>
      <c r="AY115" s="541"/>
      <c r="AZ115" s="541"/>
      <c r="BA115" s="541"/>
      <c r="BB115" s="541"/>
      <c r="BC115" s="541"/>
      <c r="BD115" s="541"/>
      <c r="BE115" s="541"/>
      <c r="BF115" s="541"/>
      <c r="BG115" s="541"/>
      <c r="BH115" s="541"/>
      <c r="BI115" s="541"/>
      <c r="BJ115" s="541"/>
      <c r="BK115" s="541"/>
      <c r="BL115" s="541"/>
      <c r="BM115" s="541"/>
      <c r="BN115" s="541"/>
      <c r="BO115" s="541"/>
      <c r="BP115" s="541"/>
      <c r="BQ115" s="541"/>
      <c r="BR115" s="541"/>
      <c r="BS115" s="541"/>
      <c r="BT115" s="541"/>
      <c r="BU115" s="541"/>
      <c r="BV115" s="542"/>
      <c r="BW115" s="542"/>
      <c r="BX115" s="542"/>
      <c r="BY115" s="542"/>
      <c r="BZ115" s="542"/>
      <c r="CA115" s="542"/>
      <c r="CB115" s="542"/>
      <c r="CC115" s="542"/>
      <c r="CD115" s="542"/>
      <c r="CE115" s="542"/>
    </row>
    <row r="116" spans="1:83" s="1807" customFormat="1" ht="15" customHeight="1">
      <c r="A116" s="540"/>
      <c r="B116"/>
      <c r="C116"/>
      <c r="D116" s="2004"/>
      <c r="E116" s="2006" t="s">
        <v>416</v>
      </c>
      <c r="F116" s="2007"/>
      <c r="G116" s="2008"/>
      <c r="H116" s="2009" t="str">
        <f>IF(A115="","",INDEX(DIFFERENTIATION_UNMERGE_AREA,MATCH(A115,DIFFERENTIATION_ID_DIFF,0)))</f>
        <v/>
      </c>
      <c r="I116" s="2009"/>
      <c r="J116" s="2009"/>
      <c r="K116" s="2009"/>
      <c r="L116" s="2009"/>
      <c r="M116" s="2009"/>
      <c r="N116" s="2009"/>
      <c r="O116" s="2009"/>
      <c r="P116" s="2009"/>
      <c r="Q116" s="2009"/>
      <c r="R116" s="2009"/>
      <c r="S116" s="634"/>
      <c r="T116" s="631"/>
      <c r="U116" s="541"/>
      <c r="V116" s="541"/>
      <c r="W116" s="542"/>
      <c r="X116" s="542"/>
      <c r="Y116" s="542"/>
      <c r="Z116" s="542"/>
      <c r="AA116" s="543"/>
      <c r="AB116" s="544"/>
      <c r="AC116" s="2018"/>
      <c r="AD116" s="545"/>
      <c r="AE116" s="546"/>
      <c r="AF116" s="546"/>
      <c r="AG116" s="547"/>
      <c r="AH116" s="548"/>
      <c r="AI116" s="541"/>
      <c r="AJ116" s="541"/>
      <c r="AK116" s="541"/>
      <c r="AL116" s="541"/>
      <c r="AM116" s="541"/>
      <c r="AN116" s="541"/>
      <c r="AO116" s="541"/>
      <c r="AP116" s="541"/>
      <c r="AQ116" s="541"/>
      <c r="AR116" s="541"/>
      <c r="AS116" s="541"/>
      <c r="AT116" s="541"/>
      <c r="AU116" s="541"/>
      <c r="AV116" s="541"/>
      <c r="AW116" s="541"/>
      <c r="AX116" s="541"/>
      <c r="AY116" s="541"/>
      <c r="AZ116" s="541"/>
      <c r="BA116" s="541"/>
      <c r="BB116" s="541"/>
      <c r="BC116" s="541"/>
      <c r="BD116" s="541"/>
      <c r="BE116" s="541"/>
      <c r="BF116" s="541"/>
      <c r="BG116" s="541"/>
      <c r="BH116" s="541"/>
      <c r="BI116" s="541"/>
      <c r="BJ116" s="541"/>
      <c r="BK116" s="541"/>
      <c r="BL116" s="541"/>
      <c r="BM116" s="541"/>
      <c r="BN116" s="541"/>
      <c r="BO116" s="541"/>
      <c r="BP116" s="541"/>
      <c r="BQ116" s="541"/>
      <c r="BR116" s="541"/>
      <c r="BS116" s="541"/>
      <c r="BT116" s="541"/>
      <c r="BU116" s="541"/>
      <c r="BV116" s="542"/>
      <c r="BW116" s="542"/>
      <c r="BX116" s="542"/>
      <c r="BY116" s="542"/>
      <c r="BZ116" s="542"/>
      <c r="CA116" s="542"/>
      <c r="CB116" s="542"/>
      <c r="CC116" s="542"/>
      <c r="CD116" s="542"/>
      <c r="CE116" s="542"/>
    </row>
    <row r="117" spans="1:83" s="1807" customFormat="1" ht="15" customHeight="1">
      <c r="A117" s="540"/>
      <c r="B117"/>
      <c r="C117"/>
      <c r="D117" s="2004"/>
      <c r="E117" s="2006" t="s">
        <v>417</v>
      </c>
      <c r="F117" s="2007"/>
      <c r="G117" s="2008"/>
      <c r="H117" s="2009" t="str">
        <f>IF(A115="","",INDEX(DIFFERENTIATION_UNMERGE_SYSTEM,MATCH(A115,DIFFERENTIATION_ID_DIFF,0)))</f>
        <v/>
      </c>
      <c r="I117" s="2009"/>
      <c r="J117" s="2009"/>
      <c r="K117" s="2009"/>
      <c r="L117" s="2009"/>
      <c r="M117" s="2009"/>
      <c r="N117" s="2009"/>
      <c r="O117" s="2009"/>
      <c r="P117" s="2009"/>
      <c r="Q117" s="2009"/>
      <c r="R117" s="2009"/>
      <c r="S117" s="634"/>
      <c r="T117" s="631"/>
      <c r="U117" s="541"/>
      <c r="V117" s="541"/>
      <c r="W117" s="542"/>
      <c r="X117" s="542"/>
      <c r="Y117" s="542"/>
      <c r="Z117" s="542"/>
      <c r="AA117" s="543"/>
      <c r="AB117" s="544"/>
      <c r="AC117" s="2018"/>
      <c r="AD117" s="545"/>
      <c r="AE117" s="546"/>
      <c r="AF117" s="546"/>
      <c r="AG117" s="547"/>
      <c r="AH117" s="548"/>
      <c r="AI117" s="541"/>
      <c r="AJ117" s="541"/>
      <c r="AK117" s="541"/>
      <c r="AL117" s="541"/>
      <c r="AM117" s="541"/>
      <c r="AN117" s="541"/>
      <c r="AO117" s="541"/>
      <c r="AP117" s="541"/>
      <c r="AQ117" s="541"/>
      <c r="AR117" s="541"/>
      <c r="AS117" s="541"/>
      <c r="AT117" s="541"/>
      <c r="AU117" s="541"/>
      <c r="AV117" s="541"/>
      <c r="AW117" s="541"/>
      <c r="AX117" s="541"/>
      <c r="AY117" s="541"/>
      <c r="AZ117" s="541"/>
      <c r="BA117" s="541"/>
      <c r="BB117" s="541"/>
      <c r="BC117" s="541"/>
      <c r="BD117" s="541"/>
      <c r="BE117" s="541"/>
      <c r="BF117" s="541"/>
      <c r="BG117" s="541"/>
      <c r="BH117" s="541"/>
      <c r="BI117" s="541"/>
      <c r="BJ117" s="541"/>
      <c r="BK117" s="541"/>
      <c r="BL117" s="541"/>
      <c r="BM117" s="541"/>
      <c r="BN117" s="541"/>
      <c r="BO117" s="541"/>
      <c r="BP117" s="541"/>
      <c r="BQ117" s="541"/>
      <c r="BR117" s="541"/>
      <c r="BS117" s="541"/>
      <c r="BT117" s="541"/>
      <c r="BU117" s="541"/>
      <c r="BV117" s="542"/>
      <c r="BW117" s="542"/>
      <c r="BX117" s="542"/>
      <c r="BY117" s="542"/>
      <c r="BZ117" s="542"/>
      <c r="CA117" s="542"/>
      <c r="CB117" s="542"/>
      <c r="CC117" s="542"/>
      <c r="CD117" s="542"/>
      <c r="CE117" s="542"/>
    </row>
    <row r="118" spans="1:83" s="1807" customFormat="1" ht="24.75" customHeight="1">
      <c r="A118" s="1727"/>
      <c r="B118" s="1062"/>
      <c r="C118" s="342"/>
      <c r="D118" s="2004"/>
      <c r="E118" s="2024" t="s">
        <v>418</v>
      </c>
      <c r="F118" s="2024"/>
      <c r="G118" s="2024"/>
      <c r="H118" s="2024"/>
      <c r="I118" s="2024"/>
      <c r="J118" s="2024"/>
      <c r="K118" s="2024"/>
      <c r="L118" s="2024"/>
      <c r="M118" s="2024"/>
      <c r="N118" s="2024"/>
      <c r="O118" s="2024"/>
      <c r="P118" s="2024"/>
      <c r="Q118" s="480">
        <f>SUMIF(T119:T120,"i",Q119:Q120)</f>
        <v>0</v>
      </c>
      <c r="R118" s="925"/>
      <c r="S118" s="1719" t="s">
        <v>419</v>
      </c>
      <c r="T118" s="632" t="s">
        <v>420</v>
      </c>
      <c r="U118" s="1995">
        <v>1</v>
      </c>
      <c r="V118" s="1995" t="s">
        <v>421</v>
      </c>
      <c r="W118" s="1062"/>
      <c r="X118" s="1062"/>
      <c r="Y118" s="1062"/>
      <c r="Z118" s="1062"/>
      <c r="AA118" s="1553"/>
      <c r="AB118" s="1062"/>
      <c r="AC118" s="2018"/>
      <c r="AD118" s="545"/>
      <c r="AE118" s="1062"/>
      <c r="AF118" s="1062"/>
      <c r="AG118" s="1553"/>
      <c r="AH118" s="1553"/>
      <c r="AI118" s="1553"/>
      <c r="AJ118" s="1553"/>
      <c r="AK118" s="1553"/>
      <c r="AL118" s="1553"/>
      <c r="AM118" s="1553"/>
      <c r="AN118" s="1553"/>
      <c r="AO118" s="1553"/>
      <c r="AP118" s="1553"/>
      <c r="AQ118" s="1553"/>
      <c r="AR118" s="1553"/>
      <c r="AS118" s="1553"/>
      <c r="AT118" s="1553"/>
      <c r="AU118" s="1553"/>
      <c r="AV118" s="1553"/>
      <c r="AW118" s="1553"/>
      <c r="AX118" s="1553"/>
      <c r="AY118" s="1553"/>
      <c r="AZ118" s="1553"/>
      <c r="BA118" s="1553"/>
      <c r="BB118" s="1553"/>
      <c r="BC118" s="1553"/>
      <c r="BD118" s="1553"/>
      <c r="BE118" s="1553"/>
      <c r="BF118" s="1553"/>
      <c r="BG118" s="1553"/>
      <c r="BH118" s="1553"/>
      <c r="BI118" s="1553"/>
      <c r="BJ118" s="1553"/>
      <c r="BK118" s="1553"/>
      <c r="BL118" s="1553"/>
      <c r="BM118" s="1553"/>
      <c r="BN118" s="1553"/>
      <c r="BO118" s="1553"/>
      <c r="BP118" s="1553"/>
      <c r="BQ118" s="1553"/>
      <c r="BR118" s="1553"/>
      <c r="BS118" s="1553"/>
      <c r="BT118" s="1553"/>
      <c r="BU118" s="1553"/>
      <c r="BV118" s="1062"/>
      <c r="BW118" s="1062"/>
      <c r="BX118" s="1062"/>
      <c r="BY118" s="1062"/>
      <c r="BZ118" s="1062"/>
      <c r="CA118" s="1062"/>
      <c r="CB118" s="1062"/>
      <c r="CC118" s="1062"/>
      <c r="CD118" s="1062"/>
      <c r="CE118" s="1062"/>
    </row>
    <row r="119" spans="1:83" s="1807" customFormat="1" ht="11.25" hidden="1" customHeight="1">
      <c r="A119" s="1714"/>
      <c r="B119" s="1553"/>
      <c r="C119" s="1553"/>
      <c r="D119" s="2004"/>
      <c r="E119" s="551"/>
      <c r="F119" s="551">
        <v>0</v>
      </c>
      <c r="G119" s="551"/>
      <c r="H119" s="551"/>
      <c r="I119" s="551"/>
      <c r="J119" s="551"/>
      <c r="K119" s="551"/>
      <c r="L119" s="551"/>
      <c r="M119" s="551"/>
      <c r="N119" s="551"/>
      <c r="O119" s="551"/>
      <c r="P119" s="551"/>
      <c r="Q119" s="551"/>
      <c r="R119" s="551"/>
      <c r="S119" s="552"/>
      <c r="T119" s="633"/>
      <c r="U119" s="1995"/>
      <c r="V119" s="1995"/>
      <c r="W119" s="1553"/>
      <c r="X119" s="1553"/>
      <c r="Y119" s="1553"/>
      <c r="Z119" s="1553"/>
      <c r="AA119" s="1553"/>
      <c r="AB119" s="1062"/>
      <c r="AC119" s="2018"/>
      <c r="AD119" s="545"/>
      <c r="AE119" s="1062"/>
      <c r="AF119" s="1062"/>
      <c r="AG119" s="1553"/>
      <c r="AH119" s="1553"/>
      <c r="AI119" s="1553"/>
      <c r="AJ119" s="1553"/>
      <c r="AK119" s="1553"/>
      <c r="AL119" s="1553"/>
      <c r="AM119" s="1553"/>
      <c r="AN119" s="1553"/>
      <c r="AO119" s="1553"/>
      <c r="AP119" s="1553"/>
      <c r="AQ119" s="1553"/>
      <c r="AR119" s="1553"/>
      <c r="AS119" s="1553"/>
      <c r="AT119" s="1553"/>
      <c r="AU119" s="1553"/>
      <c r="AV119" s="1553"/>
      <c r="AW119" s="1553"/>
      <c r="AX119" s="1553"/>
      <c r="AY119" s="1553"/>
      <c r="AZ119" s="1553"/>
      <c r="BA119" s="1553"/>
      <c r="BB119" s="1553"/>
      <c r="BC119" s="1553"/>
      <c r="BD119" s="1553"/>
      <c r="BE119" s="1553"/>
      <c r="BF119" s="1553"/>
      <c r="BG119" s="1553"/>
      <c r="BH119" s="1553"/>
      <c r="BI119" s="1553"/>
      <c r="BJ119" s="1553"/>
      <c r="BK119" s="1553"/>
      <c r="BL119" s="1553"/>
      <c r="BM119" s="1553"/>
      <c r="BN119" s="1553"/>
      <c r="BO119" s="1553"/>
      <c r="BP119" s="1553"/>
      <c r="BQ119" s="1553"/>
      <c r="BR119" s="1553"/>
      <c r="BS119" s="1553"/>
      <c r="BT119" s="1553"/>
      <c r="BU119" s="1553"/>
      <c r="BV119" s="1553"/>
      <c r="BW119" s="1553"/>
      <c r="BX119" s="1553"/>
      <c r="BY119" s="1553"/>
      <c r="BZ119" s="1553"/>
      <c r="CA119" s="1553"/>
      <c r="CB119" s="1553"/>
      <c r="CC119" s="1553"/>
      <c r="CD119" s="1553"/>
      <c r="CE119" s="1553"/>
    </row>
    <row r="120" spans="1:83" s="1807" customFormat="1" ht="11.25" customHeight="1">
      <c r="A120" s="1727"/>
      <c r="B120" s="1062"/>
      <c r="C120" s="342"/>
      <c r="D120" s="2004"/>
      <c r="E120" s="565" t="s">
        <v>18</v>
      </c>
      <c r="F120" s="1070" t="s">
        <v>18</v>
      </c>
      <c r="G120" s="1070" t="s">
        <v>422</v>
      </c>
      <c r="H120" s="567" t="s">
        <v>18</v>
      </c>
      <c r="I120" s="567"/>
      <c r="J120" s="567"/>
      <c r="K120" s="567"/>
      <c r="L120" s="567"/>
      <c r="M120" s="567"/>
      <c r="N120" s="567"/>
      <c r="O120" s="567"/>
      <c r="P120" s="567"/>
      <c r="Q120" s="567"/>
      <c r="R120" s="568"/>
      <c r="S120" s="569"/>
      <c r="T120" s="633"/>
      <c r="U120" s="1995"/>
      <c r="V120" s="1995"/>
      <c r="W120" s="1062"/>
      <c r="X120" s="1062"/>
      <c r="Y120" s="1062"/>
      <c r="Z120" s="1062"/>
      <c r="AA120" s="1553"/>
      <c r="AB120" s="1062"/>
      <c r="AC120" s="2018"/>
      <c r="AD120" s="545"/>
      <c r="AE120" s="1062"/>
      <c r="AF120" s="1062"/>
      <c r="AG120" s="1553"/>
      <c r="AH120" s="1553"/>
      <c r="AI120" s="1553"/>
      <c r="AJ120" s="1553"/>
      <c r="AK120" s="1553"/>
      <c r="AL120" s="1553"/>
      <c r="AM120" s="1553"/>
      <c r="AN120" s="1553"/>
      <c r="AO120" s="1553"/>
      <c r="AP120" s="1553"/>
      <c r="AQ120" s="1553"/>
      <c r="AR120" s="1553"/>
      <c r="AS120" s="1553"/>
      <c r="AT120" s="1553"/>
      <c r="AU120" s="1553"/>
      <c r="AV120" s="1553"/>
      <c r="AW120" s="1553"/>
      <c r="AX120" s="1553"/>
      <c r="AY120" s="1553"/>
      <c r="AZ120" s="1553"/>
      <c r="BA120" s="1553"/>
      <c r="BB120" s="1553"/>
      <c r="BC120" s="1553"/>
      <c r="BD120" s="1553"/>
      <c r="BE120" s="1553"/>
      <c r="BF120" s="1553"/>
      <c r="BG120" s="1553"/>
      <c r="BH120" s="1553"/>
      <c r="BI120" s="1553"/>
      <c r="BJ120" s="1553"/>
      <c r="BK120" s="1553"/>
      <c r="BL120" s="1553"/>
      <c r="BM120" s="1553"/>
      <c r="BN120" s="1553"/>
      <c r="BO120" s="1553"/>
      <c r="BP120" s="1553"/>
      <c r="BQ120" s="1553"/>
      <c r="BR120" s="1553"/>
      <c r="BS120" s="1553"/>
      <c r="BT120" s="1553"/>
      <c r="BU120" s="1553"/>
      <c r="BV120" s="1062"/>
      <c r="BW120" s="1062"/>
      <c r="BX120" s="1062"/>
      <c r="BY120" s="1062"/>
      <c r="BZ120" s="1062"/>
      <c r="CA120" s="1062"/>
      <c r="CB120" s="1062"/>
      <c r="CC120" s="1062"/>
      <c r="CD120" s="1062"/>
      <c r="CE120" s="1062"/>
    </row>
    <row r="121" spans="1:83" s="1236" customFormat="1" ht="5.25" hidden="1" customHeight="1">
      <c r="A121" s="1714"/>
      <c r="B121" s="1553"/>
      <c r="C121" s="1553"/>
      <c r="D121" s="2004"/>
      <c r="E121" s="947"/>
      <c r="F121" s="947"/>
      <c r="G121" s="947"/>
      <c r="H121" s="947"/>
      <c r="I121" s="947"/>
      <c r="J121" s="947"/>
      <c r="K121" s="947"/>
      <c r="L121" s="947"/>
      <c r="M121" s="947"/>
      <c r="N121" s="947"/>
      <c r="O121" s="947"/>
      <c r="P121" s="947"/>
      <c r="Q121" s="948"/>
      <c r="R121" s="949"/>
      <c r="S121" s="950"/>
      <c r="T121" s="632" t="s">
        <v>420</v>
      </c>
      <c r="U121" s="1995">
        <v>1</v>
      </c>
      <c r="V121" s="1995" t="s">
        <v>421</v>
      </c>
      <c r="W121" s="1553"/>
      <c r="X121" s="1553"/>
      <c r="Y121" s="1553"/>
      <c r="Z121" s="1553"/>
      <c r="AA121" s="1553"/>
      <c r="AB121" s="1553"/>
      <c r="AC121" s="945"/>
      <c r="AD121" s="946"/>
      <c r="AE121" s="1553"/>
      <c r="AF121" s="1553"/>
      <c r="AG121" s="1553"/>
      <c r="AH121" s="1553"/>
      <c r="AI121" s="1553"/>
      <c r="AJ121" s="1553"/>
      <c r="AK121" s="1553"/>
      <c r="AL121" s="1553"/>
      <c r="AM121" s="1553"/>
      <c r="AN121" s="1553"/>
      <c r="AO121" s="1553"/>
      <c r="AP121" s="1553"/>
      <c r="AQ121" s="1553"/>
      <c r="AR121" s="1553"/>
      <c r="AS121" s="1553"/>
      <c r="AT121" s="1553"/>
      <c r="AU121" s="1553"/>
      <c r="AV121" s="1553"/>
      <c r="AW121" s="1553"/>
      <c r="AX121" s="1553"/>
      <c r="AY121" s="1553"/>
      <c r="AZ121" s="1553"/>
      <c r="BA121" s="1553"/>
      <c r="BB121" s="1553"/>
      <c r="BC121" s="1553"/>
      <c r="BD121" s="1553"/>
      <c r="BE121" s="1553"/>
      <c r="BF121" s="1553"/>
      <c r="BG121" s="1553"/>
      <c r="BH121" s="1553"/>
      <c r="BI121" s="1553"/>
      <c r="BJ121" s="1553"/>
      <c r="BK121" s="1553"/>
      <c r="BL121" s="1553"/>
      <c r="BM121" s="1553"/>
      <c r="BN121" s="1553"/>
      <c r="BO121" s="1553"/>
      <c r="BP121" s="1553"/>
      <c r="BQ121" s="1553"/>
      <c r="BR121" s="1553"/>
      <c r="BS121" s="1553"/>
      <c r="BT121" s="1553"/>
      <c r="BU121" s="1553"/>
      <c r="BV121" s="1553"/>
      <c r="BW121" s="1553"/>
      <c r="BX121" s="1553"/>
      <c r="BY121" s="1553"/>
      <c r="BZ121" s="1553"/>
      <c r="CA121" s="1553"/>
      <c r="CB121" s="1553"/>
      <c r="CC121" s="1553"/>
      <c r="CD121" s="1553"/>
      <c r="CE121" s="1553"/>
    </row>
    <row r="122" spans="1:83" s="1236" customFormat="1" ht="5.25" hidden="1" customHeight="1">
      <c r="A122" s="1714"/>
      <c r="B122" s="1553"/>
      <c r="C122" s="1553"/>
      <c r="D122" s="2004"/>
      <c r="E122" s="551"/>
      <c r="F122" s="551"/>
      <c r="G122" s="551"/>
      <c r="H122" s="551"/>
      <c r="I122" s="551"/>
      <c r="J122" s="551"/>
      <c r="K122" s="551"/>
      <c r="L122" s="551"/>
      <c r="M122" s="551"/>
      <c r="N122" s="551"/>
      <c r="O122" s="551"/>
      <c r="P122" s="551"/>
      <c r="Q122" s="551"/>
      <c r="R122" s="551"/>
      <c r="S122" s="552"/>
      <c r="T122" s="633"/>
      <c r="U122" s="1995"/>
      <c r="V122" s="1995"/>
      <c r="W122" s="1553"/>
      <c r="X122" s="1553"/>
      <c r="Y122" s="1553"/>
      <c r="Z122" s="1553"/>
      <c r="AA122" s="1553"/>
      <c r="AB122" s="1553"/>
      <c r="AC122" s="945"/>
      <c r="AD122" s="946"/>
      <c r="AE122" s="1553"/>
      <c r="AF122" s="1553"/>
      <c r="AG122" s="1553"/>
      <c r="AH122" s="1553"/>
      <c r="AI122" s="1553"/>
      <c r="AJ122" s="1553"/>
      <c r="AK122" s="1553"/>
      <c r="AL122" s="1553"/>
      <c r="AM122" s="1553"/>
      <c r="AN122" s="1553"/>
      <c r="AO122" s="1553"/>
      <c r="AP122" s="1553"/>
      <c r="AQ122" s="1553"/>
      <c r="AR122" s="1553"/>
      <c r="AS122" s="1553"/>
      <c r="AT122" s="1553"/>
      <c r="AU122" s="1553"/>
      <c r="AV122" s="1553"/>
      <c r="AW122" s="1553"/>
      <c r="AX122" s="1553"/>
      <c r="AY122" s="1553"/>
      <c r="AZ122" s="1553"/>
      <c r="BA122" s="1553"/>
      <c r="BB122" s="1553"/>
      <c r="BC122" s="1553"/>
      <c r="BD122" s="1553"/>
      <c r="BE122" s="1553"/>
      <c r="BF122" s="1553"/>
      <c r="BG122" s="1553"/>
      <c r="BH122" s="1553"/>
      <c r="BI122" s="1553"/>
      <c r="BJ122" s="1553"/>
      <c r="BK122" s="1553"/>
      <c r="BL122" s="1553"/>
      <c r="BM122" s="1553"/>
      <c r="BN122" s="1553"/>
      <c r="BO122" s="1553"/>
      <c r="BP122" s="1553"/>
      <c r="BQ122" s="1553"/>
      <c r="BR122" s="1553"/>
      <c r="BS122" s="1553"/>
      <c r="BT122" s="1553"/>
      <c r="BU122" s="1553"/>
      <c r="BV122" s="1553"/>
      <c r="BW122" s="1553"/>
      <c r="BX122" s="1553"/>
      <c r="BY122" s="1553"/>
      <c r="BZ122" s="1553"/>
      <c r="CA122" s="1553"/>
      <c r="CB122" s="1553"/>
      <c r="CC122" s="1553"/>
      <c r="CD122" s="1553"/>
      <c r="CE122" s="1553"/>
    </row>
    <row r="123" spans="1:83" s="1236" customFormat="1" ht="5.25" hidden="1" customHeight="1">
      <c r="A123" s="1714"/>
      <c r="B123" s="1553"/>
      <c r="C123" s="1553"/>
      <c r="D123" s="2005"/>
      <c r="E123" s="951"/>
      <c r="F123" s="952"/>
      <c r="G123" s="952"/>
      <c r="H123" s="953"/>
      <c r="I123" s="953"/>
      <c r="J123" s="953"/>
      <c r="K123" s="953"/>
      <c r="L123" s="953"/>
      <c r="M123" s="953"/>
      <c r="N123" s="953"/>
      <c r="O123" s="953"/>
      <c r="P123" s="953"/>
      <c r="Q123" s="953"/>
      <c r="R123" s="858"/>
      <c r="S123" s="954"/>
      <c r="T123" s="633"/>
      <c r="U123" s="1995"/>
      <c r="V123" s="1995"/>
      <c r="W123" s="1553"/>
      <c r="X123" s="1553"/>
      <c r="Y123" s="1553"/>
      <c r="Z123" s="1553"/>
      <c r="AA123" s="1553"/>
      <c r="AB123" s="1553"/>
      <c r="AC123" s="945"/>
      <c r="AD123" s="946"/>
      <c r="AE123" s="1553"/>
      <c r="AF123" s="1553"/>
      <c r="AG123" s="1553"/>
      <c r="AH123" s="1553"/>
      <c r="AI123" s="1553"/>
      <c r="AJ123" s="1553"/>
      <c r="AK123" s="1553"/>
      <c r="AL123" s="1553"/>
      <c r="AM123" s="1553"/>
      <c r="AN123" s="1553"/>
      <c r="AO123" s="1553"/>
      <c r="AP123" s="1553"/>
      <c r="AQ123" s="1553"/>
      <c r="AR123" s="1553"/>
      <c r="AS123" s="1553"/>
      <c r="AT123" s="1553"/>
      <c r="AU123" s="1553"/>
      <c r="AV123" s="1553"/>
      <c r="AW123" s="1553"/>
      <c r="AX123" s="1553"/>
      <c r="AY123" s="1553"/>
      <c r="AZ123" s="1553"/>
      <c r="BA123" s="1553"/>
      <c r="BB123" s="1553"/>
      <c r="BC123" s="1553"/>
      <c r="BD123" s="1553"/>
      <c r="BE123" s="1553"/>
      <c r="BF123" s="1553"/>
      <c r="BG123" s="1553"/>
      <c r="BH123" s="1553"/>
      <c r="BI123" s="1553"/>
      <c r="BJ123" s="1553"/>
      <c r="BK123" s="1553"/>
      <c r="BL123" s="1553"/>
      <c r="BM123" s="1553"/>
      <c r="BN123" s="1553"/>
      <c r="BO123" s="1553"/>
      <c r="BP123" s="1553"/>
      <c r="BQ123" s="1553"/>
      <c r="BR123" s="1553"/>
      <c r="BS123" s="1553"/>
      <c r="BT123" s="1553"/>
      <c r="BU123" s="1553"/>
      <c r="BV123" s="1553"/>
      <c r="BW123" s="1553"/>
      <c r="BX123" s="1553"/>
      <c r="BY123" s="1553"/>
      <c r="BZ123" s="1553"/>
      <c r="CA123" s="1553"/>
      <c r="CB123" s="1553"/>
      <c r="CC123" s="1553"/>
      <c r="CD123" s="1553"/>
      <c r="CE123" s="1553"/>
    </row>
    <row r="124" spans="1:83" ht="17.25" customHeight="1">
      <c r="D124" s="1756"/>
    </row>
    <row r="125" spans="1:83" s="1736" customFormat="1" ht="11.25" customHeight="1">
      <c r="A125" s="1736" t="s">
        <v>426</v>
      </c>
    </row>
    <row r="127" spans="1:83" s="1807" customFormat="1" ht="45" customHeight="1">
      <c r="A127" s="1727"/>
      <c r="B127" s="1062"/>
      <c r="C127" s="342"/>
      <c r="D127"/>
      <c r="E127" s="2019"/>
      <c r="F127" s="1886" t="s">
        <v>109</v>
      </c>
      <c r="G127" s="2022" t="s">
        <v>18</v>
      </c>
      <c r="H127" s="204"/>
      <c r="I127" s="553" t="s">
        <v>109</v>
      </c>
      <c r="J127" s="1728" t="s">
        <v>427</v>
      </c>
      <c r="K127" s="554" t="s">
        <v>428</v>
      </c>
      <c r="L127" s="1966" t="s">
        <v>428</v>
      </c>
      <c r="M127" s="1926"/>
      <c r="N127" s="554" t="s">
        <v>428</v>
      </c>
      <c r="O127" s="554" t="s">
        <v>428</v>
      </c>
      <c r="P127" s="554" t="s">
        <v>428</v>
      </c>
      <c r="Q127" s="555">
        <f>SUM(Q128:Q130)</f>
        <v>0</v>
      </c>
      <c r="R127" s="555">
        <f>IF(R124=0,0,(Q124/R124)*100)</f>
        <v>0</v>
      </c>
      <c r="S127" s="1938"/>
      <c r="T127" s="632" t="s">
        <v>420</v>
      </c>
      <c r="U127"/>
      <c r="V127"/>
      <c r="AC127"/>
    </row>
    <row r="128" spans="1:83" s="1807" customFormat="1" ht="11.25" customHeight="1">
      <c r="A128" s="1727"/>
      <c r="B128" s="1062"/>
      <c r="C128" s="342"/>
      <c r="D128"/>
      <c r="E128" s="2020"/>
      <c r="F128" s="1886"/>
      <c r="G128" s="2022"/>
      <c r="H128" s="1874"/>
      <c r="I128" s="1998" t="s">
        <v>429</v>
      </c>
      <c r="J128" s="2016"/>
      <c r="K128" s="2017"/>
      <c r="L128" s="556"/>
      <c r="M128" s="557" t="s">
        <v>109</v>
      </c>
      <c r="N128" s="1716"/>
      <c r="O128" s="558"/>
      <c r="P128" s="559"/>
      <c r="Q128" s="558"/>
      <c r="R128" s="560">
        <v>0</v>
      </c>
      <c r="S128" s="1938"/>
      <c r="T128" s="632"/>
      <c r="U128"/>
      <c r="V128"/>
      <c r="AC128"/>
    </row>
    <row r="129" spans="1:43" s="1807" customFormat="1" ht="11.25" customHeight="1">
      <c r="A129" s="1727"/>
      <c r="B129" s="1062"/>
      <c r="C129" s="342"/>
      <c r="D129"/>
      <c r="E129" s="2020"/>
      <c r="F129" s="1886"/>
      <c r="G129" s="2022"/>
      <c r="H129" s="1874"/>
      <c r="I129" s="1998"/>
      <c r="J129" s="2016"/>
      <c r="K129" s="2000"/>
      <c r="L129" s="561"/>
      <c r="M129" s="562"/>
      <c r="N129" s="563" t="s">
        <v>430</v>
      </c>
      <c r="O129" s="563"/>
      <c r="P129" s="563"/>
      <c r="Q129" s="563"/>
      <c r="R129" s="564"/>
      <c r="S129" s="1938"/>
      <c r="T129" s="632"/>
      <c r="U129"/>
      <c r="V129"/>
      <c r="AC129"/>
    </row>
    <row r="130" spans="1:43" s="1807" customFormat="1" ht="11.25" customHeight="1">
      <c r="A130" s="1727"/>
      <c r="B130" s="1062"/>
      <c r="C130" s="342"/>
      <c r="D130"/>
      <c r="E130" s="2021"/>
      <c r="F130" s="1886"/>
      <c r="G130" s="2023"/>
      <c r="H130" s="561" t="s">
        <v>18</v>
      </c>
      <c r="I130" s="562"/>
      <c r="J130" s="563" t="s">
        <v>431</v>
      </c>
      <c r="K130" s="563"/>
      <c r="L130" s="563"/>
      <c r="M130" s="563"/>
      <c r="N130" s="563"/>
      <c r="O130" s="563"/>
      <c r="P130" s="563"/>
      <c r="Q130" s="563"/>
      <c r="R130" s="564"/>
      <c r="S130" s="1938"/>
      <c r="T130" s="632"/>
      <c r="U130"/>
      <c r="V130"/>
      <c r="AC130"/>
    </row>
    <row r="135" spans="1:43" s="1807" customFormat="1" ht="11.25" customHeight="1">
      <c r="A135" s="1727"/>
      <c r="B135" s="1062"/>
      <c r="C135" s="342"/>
      <c r="D135"/>
      <c r="E135" s="1751"/>
      <c r="F135" s="1751"/>
      <c r="G135" s="1751"/>
      <c r="H135" s="1874"/>
      <c r="I135" s="1998" t="s">
        <v>429</v>
      </c>
      <c r="J135" s="2016"/>
      <c r="K135" s="2017"/>
      <c r="L135" s="556"/>
      <c r="M135" s="557" t="s">
        <v>109</v>
      </c>
      <c r="N135" s="1716"/>
      <c r="O135" s="558"/>
      <c r="P135" s="559"/>
      <c r="Q135" s="558"/>
      <c r="R135" s="560">
        <v>0</v>
      </c>
      <c r="S135"/>
      <c r="T135" s="632"/>
      <c r="U135"/>
      <c r="V135"/>
      <c r="AC135"/>
    </row>
    <row r="136" spans="1:43" s="1807" customFormat="1" ht="11.25" customHeight="1">
      <c r="A136" s="1727"/>
      <c r="B136" s="1062"/>
      <c r="C136" s="342"/>
      <c r="D136"/>
      <c r="E136" s="1751"/>
      <c r="F136" s="1751"/>
      <c r="G136" s="1751"/>
      <c r="H136" s="1874"/>
      <c r="I136" s="1998"/>
      <c r="J136" s="2016"/>
      <c r="K136" s="2000"/>
      <c r="L136" s="561"/>
      <c r="M136" s="562"/>
      <c r="N136" s="563" t="s">
        <v>430</v>
      </c>
      <c r="O136" s="563"/>
      <c r="P136" s="563"/>
      <c r="Q136" s="563"/>
      <c r="R136" s="564"/>
      <c r="S136"/>
      <c r="T136" s="632"/>
      <c r="U136"/>
      <c r="V136"/>
      <c r="AC136"/>
    </row>
    <row r="138" spans="1:43" s="1807" customFormat="1" ht="11.25" customHeight="1">
      <c r="A138" s="1727"/>
      <c r="B138" s="1062"/>
      <c r="C138" s="342"/>
      <c r="D138"/>
      <c r="E138" s="1757"/>
      <c r="F138"/>
      <c r="G138"/>
      <c r="H138" s="1758"/>
      <c r="I138" s="1751"/>
      <c r="J138" s="1752"/>
      <c r="K138" s="1752"/>
      <c r="L138" s="556"/>
      <c r="M138" s="557" t="s">
        <v>109</v>
      </c>
      <c r="N138" s="1716"/>
      <c r="O138" s="558"/>
      <c r="P138" s="559"/>
      <c r="Q138" s="558"/>
      <c r="R138" s="560">
        <v>0</v>
      </c>
      <c r="S138"/>
      <c r="T138" s="632"/>
      <c r="U138"/>
      <c r="V138"/>
      <c r="AC138"/>
    </row>
    <row r="140" spans="1:43" s="1736" customFormat="1" ht="17.25" customHeight="1">
      <c r="A140" s="1736" t="s">
        <v>432</v>
      </c>
    </row>
    <row r="141" spans="1:43" ht="17.25" customHeight="1">
      <c r="G141" s="1759"/>
      <c r="H141" s="1759"/>
      <c r="I141" s="1759"/>
      <c r="M141"/>
    </row>
    <row r="142" spans="1:43" s="1773" customFormat="1" ht="17.25" customHeight="1">
      <c r="A142" s="1760"/>
      <c r="C142" s="1762"/>
      <c r="D142" s="1996"/>
      <c r="E142" s="1896"/>
      <c r="F142" s="1898"/>
      <c r="G142" s="2001"/>
      <c r="H142" s="1996"/>
      <c r="I142" s="1996">
        <v>1</v>
      </c>
      <c r="J142" s="2027"/>
      <c r="K142" s="1941" t="s">
        <v>59</v>
      </c>
      <c r="L142" s="1886"/>
      <c r="M142" s="1886" t="s">
        <v>109</v>
      </c>
      <c r="N142" s="2025" t="str">
        <f>IF(Z142="","",INDEX(TERRITORY_MR_LIST,MATCH(Z142,TERRITORY_LIST_ID,0)))</f>
        <v/>
      </c>
      <c r="O142" s="1941" t="s">
        <v>59</v>
      </c>
      <c r="P142" s="1886"/>
      <c r="Q142" s="1886" t="s">
        <v>109</v>
      </c>
      <c r="R142" s="2000" t="s">
        <v>18</v>
      </c>
      <c r="S142" s="1885" t="s">
        <v>59</v>
      </c>
      <c r="T142" s="1732"/>
      <c r="U142" s="1732" t="s">
        <v>109</v>
      </c>
      <c r="V142" s="1763" t="s">
        <v>18</v>
      </c>
      <c r="W142" s="1722"/>
      <c r="Y142" s="1188"/>
      <c r="Z142" s="1188"/>
      <c r="AA142" s="1188"/>
      <c r="AB142" s="1188"/>
      <c r="AC142" s="1188"/>
      <c r="AD142" s="1188"/>
      <c r="AE142" s="1188"/>
      <c r="AF142" s="1188"/>
      <c r="AG142" s="1188"/>
      <c r="AH142" s="1188"/>
      <c r="AI142" s="1188"/>
      <c r="AJ142" s="1188"/>
      <c r="AK142" s="1188"/>
      <c r="AL142" s="1764"/>
      <c r="AM142" s="1764"/>
      <c r="AN142" s="1188"/>
      <c r="AO142" s="1188"/>
      <c r="AP142" s="1188"/>
      <c r="AQ142" s="1188"/>
    </row>
    <row r="143" spans="1:43" s="1773" customFormat="1" ht="17.25" customHeight="1">
      <c r="A143" s="1760"/>
      <c r="C143" s="1765"/>
      <c r="D143" s="1996"/>
      <c r="E143" s="1896"/>
      <c r="F143" s="1899"/>
      <c r="G143" s="2001"/>
      <c r="H143" s="1996"/>
      <c r="I143" s="1996"/>
      <c r="J143" s="2027"/>
      <c r="K143" s="1942"/>
      <c r="L143" s="1886"/>
      <c r="M143" s="1886"/>
      <c r="N143" s="2025"/>
      <c r="O143" s="1942"/>
      <c r="P143" s="1886"/>
      <c r="Q143" s="1886"/>
      <c r="R143" s="2000"/>
      <c r="S143" s="1885"/>
      <c r="T143" s="236"/>
      <c r="U143" s="237"/>
      <c r="V143" s="237" t="s">
        <v>433</v>
      </c>
      <c r="W143" s="238"/>
      <c r="Y143" s="1181"/>
      <c r="Z143" s="1181"/>
      <c r="AA143" s="1181"/>
      <c r="AB143" s="1181"/>
      <c r="AC143" s="1181"/>
      <c r="AD143" s="1181"/>
      <c r="AE143" s="1181"/>
      <c r="AF143" s="1181"/>
      <c r="AG143" s="1181"/>
      <c r="AH143" s="1181"/>
      <c r="AI143" s="1181"/>
      <c r="AJ143" s="1181"/>
      <c r="AK143" s="1181"/>
    </row>
    <row r="144" spans="1:43" s="1773" customFormat="1" ht="17.25" customHeight="1">
      <c r="A144" s="1760"/>
      <c r="C144" s="1765"/>
      <c r="D144" s="1883"/>
      <c r="E144" s="1897"/>
      <c r="F144" s="1899"/>
      <c r="G144" s="2002"/>
      <c r="H144" s="1883"/>
      <c r="I144" s="1883"/>
      <c r="J144" s="2028"/>
      <c r="K144" s="1942"/>
      <c r="L144" s="1883"/>
      <c r="M144" s="1883"/>
      <c r="N144" s="2026"/>
      <c r="O144" s="1890"/>
      <c r="P144" s="236"/>
      <c r="Q144" s="237"/>
      <c r="R144" s="237" t="s">
        <v>434</v>
      </c>
      <c r="S144" s="1766"/>
      <c r="T144" s="1766"/>
      <c r="U144" s="1766"/>
      <c r="V144" s="1766"/>
      <c r="W144" s="238"/>
      <c r="Y144" s="1181"/>
      <c r="Z144" s="1181"/>
      <c r="AA144" s="1181"/>
      <c r="AB144" s="1181"/>
      <c r="AC144" s="1181"/>
      <c r="AD144" s="1181"/>
      <c r="AE144" s="1181"/>
      <c r="AF144" s="1181"/>
      <c r="AG144" s="1181"/>
      <c r="AH144" s="1181"/>
      <c r="AI144" s="1181"/>
      <c r="AJ144" s="1181"/>
      <c r="AK144" s="1181"/>
    </row>
    <row r="145" spans="1:43" s="1773" customFormat="1" ht="17.25" customHeight="1">
      <c r="A145" s="1760"/>
      <c r="C145" s="1765"/>
      <c r="D145" s="1883"/>
      <c r="E145" s="1897"/>
      <c r="F145" s="1899"/>
      <c r="G145" s="2002"/>
      <c r="H145" s="1883"/>
      <c r="I145" s="1883"/>
      <c r="J145" s="2028"/>
      <c r="K145" s="1890"/>
      <c r="L145" s="236"/>
      <c r="M145" s="237"/>
      <c r="N145" s="237" t="s">
        <v>435</v>
      </c>
      <c r="O145" s="237"/>
      <c r="P145" s="237"/>
      <c r="Q145" s="237"/>
      <c r="R145" s="237"/>
      <c r="S145" s="1766"/>
      <c r="T145" s="1766"/>
      <c r="U145" s="1766"/>
      <c r="V145" s="1766"/>
      <c r="W145" s="238"/>
      <c r="Y145" s="1181"/>
      <c r="Z145" s="1181"/>
      <c r="AA145" s="1181"/>
      <c r="AB145" s="1181"/>
      <c r="AC145" s="1181"/>
      <c r="AD145" s="1181"/>
      <c r="AE145" s="1181"/>
      <c r="AF145" s="1181"/>
      <c r="AG145" s="1181"/>
      <c r="AH145" s="1181"/>
      <c r="AI145" s="1181"/>
      <c r="AJ145" s="1181"/>
      <c r="AK145" s="1181"/>
    </row>
    <row r="146" spans="1:43" s="1773" customFormat="1" ht="17.25" customHeight="1">
      <c r="A146" s="1760"/>
      <c r="C146" s="1765"/>
      <c r="D146" s="1883"/>
      <c r="E146" s="1897"/>
      <c r="F146" s="1900"/>
      <c r="G146" s="2002"/>
      <c r="H146" s="236"/>
      <c r="I146" s="237"/>
      <c r="J146" s="237" t="s">
        <v>436</v>
      </c>
      <c r="K146" s="237"/>
      <c r="L146" s="237"/>
      <c r="M146" s="237"/>
      <c r="N146" s="237"/>
      <c r="O146" s="237"/>
      <c r="P146" s="237"/>
      <c r="Q146" s="237"/>
      <c r="R146" s="237"/>
      <c r="S146" s="1766"/>
      <c r="T146" s="1766"/>
      <c r="U146" s="1766"/>
      <c r="V146" s="1766"/>
      <c r="W146" s="238"/>
      <c r="Y146" s="1181"/>
      <c r="Z146" s="1181"/>
      <c r="AA146" s="1181"/>
      <c r="AB146" s="1181"/>
      <c r="AC146" s="1181"/>
      <c r="AD146" s="1181"/>
      <c r="AE146" s="1181"/>
      <c r="AF146" s="1181"/>
      <c r="AG146" s="1181"/>
      <c r="AH146" s="1181"/>
      <c r="AI146" s="1181"/>
      <c r="AJ146" s="1181"/>
      <c r="AK146" s="1181"/>
    </row>
    <row r="147" spans="1:43" ht="17.25" customHeight="1">
      <c r="G147" s="1759"/>
      <c r="H147" s="1759"/>
      <c r="I147" s="1759"/>
      <c r="M147"/>
    </row>
    <row r="148" spans="1:43" s="1773" customFormat="1" ht="17.25" customHeight="1">
      <c r="A148" s="1760"/>
      <c r="C148" s="1762"/>
      <c r="D148" s="1751"/>
      <c r="E148" s="1767"/>
      <c r="F148" s="1704"/>
      <c r="G148" s="1768"/>
      <c r="H148" s="1996"/>
      <c r="I148" s="1996">
        <v>1</v>
      </c>
      <c r="J148" s="2027"/>
      <c r="K148" s="1941" t="s">
        <v>59</v>
      </c>
      <c r="L148" s="1886"/>
      <c r="M148" s="1886" t="s">
        <v>109</v>
      </c>
      <c r="N148" s="2025" t="str">
        <f>IF(Z148="","",INDEX(TERRITORY_MR_LIST,MATCH(Z148,TERRITORY_LIST_ID,0)))</f>
        <v/>
      </c>
      <c r="O148" s="1941" t="s">
        <v>59</v>
      </c>
      <c r="P148" s="1886"/>
      <c r="Q148" s="1886" t="s">
        <v>109</v>
      </c>
      <c r="R148" s="2000" t="s">
        <v>18</v>
      </c>
      <c r="S148" s="1885" t="s">
        <v>59</v>
      </c>
      <c r="T148" s="1732"/>
      <c r="U148" s="1732" t="s">
        <v>109</v>
      </c>
      <c r="V148" s="1763" t="s">
        <v>18</v>
      </c>
      <c r="W148" s="1722"/>
      <c r="Y148" s="1188"/>
      <c r="Z148" s="1188"/>
      <c r="AA148" s="1188"/>
      <c r="AB148" s="1188"/>
      <c r="AC148" s="1188"/>
      <c r="AD148" s="1188"/>
      <c r="AE148" s="1188"/>
      <c r="AF148" s="1188"/>
      <c r="AG148" s="1188"/>
      <c r="AH148" s="1188"/>
      <c r="AI148" s="1188"/>
      <c r="AJ148" s="1188"/>
      <c r="AK148" s="1188"/>
      <c r="AL148" s="1764"/>
      <c r="AM148" s="1764"/>
      <c r="AN148" s="1188"/>
      <c r="AO148" s="1188"/>
      <c r="AP148" s="1188"/>
      <c r="AQ148" s="1188"/>
    </row>
    <row r="149" spans="1:43" s="1773" customFormat="1" ht="17.25" customHeight="1">
      <c r="A149" s="1760"/>
      <c r="C149" s="1765"/>
      <c r="D149" s="1751"/>
      <c r="E149" s="1767"/>
      <c r="F149" s="1704"/>
      <c r="G149" s="1768"/>
      <c r="H149" s="1996"/>
      <c r="I149" s="1996"/>
      <c r="J149" s="2027"/>
      <c r="K149" s="1942"/>
      <c r="L149" s="1886"/>
      <c r="M149" s="1886"/>
      <c r="N149" s="2025"/>
      <c r="O149" s="1942"/>
      <c r="P149" s="1886"/>
      <c r="Q149" s="1886"/>
      <c r="R149" s="2000"/>
      <c r="S149" s="1885"/>
      <c r="T149" s="236"/>
      <c r="U149" s="237"/>
      <c r="V149" s="237" t="s">
        <v>433</v>
      </c>
      <c r="W149" s="238"/>
      <c r="Y149" s="1181"/>
      <c r="Z149" s="1181"/>
      <c r="AA149" s="1181"/>
      <c r="AB149" s="1181"/>
      <c r="AC149" s="1181"/>
      <c r="AD149" s="1181"/>
      <c r="AE149" s="1181"/>
      <c r="AF149" s="1181"/>
      <c r="AG149" s="1181"/>
      <c r="AH149" s="1181"/>
      <c r="AI149" s="1181"/>
      <c r="AJ149" s="1181"/>
      <c r="AK149" s="1181"/>
    </row>
    <row r="150" spans="1:43" s="1773" customFormat="1" ht="17.25" customHeight="1">
      <c r="A150" s="1760"/>
      <c r="C150" s="1765"/>
      <c r="D150" s="1751"/>
      <c r="E150" s="1767"/>
      <c r="F150" s="1704"/>
      <c r="G150" s="1768"/>
      <c r="H150" s="1883"/>
      <c r="I150" s="1883"/>
      <c r="J150" s="2028"/>
      <c r="K150" s="1942"/>
      <c r="L150" s="1883"/>
      <c r="M150" s="1883"/>
      <c r="N150" s="2026"/>
      <c r="O150" s="1890"/>
      <c r="P150" s="236"/>
      <c r="Q150" s="237"/>
      <c r="R150" s="237" t="s">
        <v>434</v>
      </c>
      <c r="S150" s="1766"/>
      <c r="T150" s="1766"/>
      <c r="U150" s="1766"/>
      <c r="V150" s="1766"/>
      <c r="W150" s="238"/>
      <c r="Y150" s="1181"/>
      <c r="Z150" s="1181"/>
      <c r="AA150" s="1181"/>
      <c r="AB150" s="1181"/>
      <c r="AC150" s="1181"/>
      <c r="AD150" s="1181"/>
      <c r="AE150" s="1181"/>
      <c r="AF150" s="1181"/>
      <c r="AG150" s="1181"/>
      <c r="AH150" s="1181"/>
      <c r="AI150" s="1181"/>
      <c r="AJ150" s="1181"/>
      <c r="AK150" s="1181"/>
    </row>
    <row r="151" spans="1:43" s="1773" customFormat="1" ht="17.25" customHeight="1">
      <c r="A151" s="1760"/>
      <c r="C151" s="1765"/>
      <c r="D151" s="1751"/>
      <c r="E151" s="1767"/>
      <c r="F151" s="1704"/>
      <c r="G151" s="1768"/>
      <c r="H151" s="1883"/>
      <c r="I151" s="1883"/>
      <c r="J151" s="2028"/>
      <c r="K151" s="1890"/>
      <c r="L151" s="236"/>
      <c r="M151" s="237"/>
      <c r="N151" s="237" t="s">
        <v>435</v>
      </c>
      <c r="O151" s="237"/>
      <c r="P151" s="237"/>
      <c r="Q151" s="237"/>
      <c r="R151" s="237"/>
      <c r="S151" s="1766"/>
      <c r="T151" s="1766"/>
      <c r="U151" s="1766"/>
      <c r="V151" s="1766"/>
      <c r="W151" s="238"/>
      <c r="Y151" s="1181"/>
      <c r="Z151" s="1181"/>
      <c r="AA151" s="1181"/>
      <c r="AB151" s="1181"/>
      <c r="AC151" s="1181"/>
      <c r="AD151" s="1181"/>
      <c r="AE151" s="1181"/>
      <c r="AF151" s="1181"/>
      <c r="AG151" s="1181"/>
      <c r="AH151" s="1181"/>
      <c r="AI151" s="1181"/>
      <c r="AJ151" s="1181"/>
      <c r="AK151" s="1181"/>
    </row>
    <row r="152" spans="1:43" ht="17.25" customHeight="1">
      <c r="G152" s="1759"/>
      <c r="H152" s="1759"/>
      <c r="I152" s="1759"/>
      <c r="M152"/>
    </row>
    <row r="153" spans="1:43" s="1773" customFormat="1" ht="17.25" customHeight="1">
      <c r="A153" s="1760"/>
      <c r="C153" s="1762"/>
      <c r="D153" s="1751"/>
      <c r="E153" s="1767"/>
      <c r="F153" s="1704"/>
      <c r="G153" s="1768"/>
      <c r="H153" s="1751"/>
      <c r="I153" s="1751"/>
      <c r="J153" s="1769"/>
      <c r="K153" s="1676"/>
      <c r="L153" s="1886"/>
      <c r="M153" s="1886" t="s">
        <v>109</v>
      </c>
      <c r="N153" s="2025" t="str">
        <f>IF(Z153="","",INDEX(TERRITORY_MR_LIST,MATCH(Z153,TERRITORY_LIST_ID,0)))</f>
        <v/>
      </c>
      <c r="O153" s="1941" t="s">
        <v>59</v>
      </c>
      <c r="P153" s="1886"/>
      <c r="Q153" s="1886" t="s">
        <v>109</v>
      </c>
      <c r="R153" s="2000" t="s">
        <v>18</v>
      </c>
      <c r="S153" s="1885" t="s">
        <v>59</v>
      </c>
      <c r="T153" s="1732"/>
      <c r="U153" s="1732" t="s">
        <v>109</v>
      </c>
      <c r="V153" s="1763" t="s">
        <v>18</v>
      </c>
      <c r="W153" s="1722"/>
      <c r="Y153" s="1188"/>
      <c r="Z153" s="1188"/>
      <c r="AA153" s="1188"/>
      <c r="AB153" s="1188"/>
      <c r="AC153" s="1188"/>
      <c r="AD153" s="1188"/>
      <c r="AE153" s="1188"/>
      <c r="AF153" s="1188"/>
      <c r="AG153" s="1188"/>
      <c r="AH153" s="1188"/>
      <c r="AI153" s="1188"/>
      <c r="AJ153" s="1188"/>
      <c r="AK153" s="1188"/>
      <c r="AL153" s="1764"/>
      <c r="AM153" s="1764"/>
      <c r="AN153" s="1188"/>
      <c r="AO153" s="1188"/>
      <c r="AP153" s="1188"/>
      <c r="AQ153" s="1188"/>
    </row>
    <row r="154" spans="1:43" s="1773" customFormat="1" ht="17.25" customHeight="1">
      <c r="A154" s="1760"/>
      <c r="C154" s="1765"/>
      <c r="D154" s="1751"/>
      <c r="E154" s="1767"/>
      <c r="F154" s="1704"/>
      <c r="G154" s="1768"/>
      <c r="H154" s="1751"/>
      <c r="I154" s="1751"/>
      <c r="J154" s="1769"/>
      <c r="K154" s="1676"/>
      <c r="L154" s="1886"/>
      <c r="M154" s="1886"/>
      <c r="N154" s="2025"/>
      <c r="O154" s="1942"/>
      <c r="P154" s="1886"/>
      <c r="Q154" s="1886"/>
      <c r="R154" s="2000"/>
      <c r="S154" s="1885"/>
      <c r="T154" s="236"/>
      <c r="U154" s="237"/>
      <c r="V154" s="237" t="s">
        <v>433</v>
      </c>
      <c r="W154" s="238"/>
      <c r="Y154" s="1181"/>
      <c r="Z154" s="1181"/>
      <c r="AA154" s="1181"/>
      <c r="AB154" s="1181"/>
      <c r="AC154" s="1181"/>
      <c r="AD154" s="1181"/>
      <c r="AE154" s="1181"/>
      <c r="AF154" s="1181"/>
      <c r="AG154" s="1181"/>
      <c r="AH154" s="1181"/>
      <c r="AI154" s="1181"/>
      <c r="AJ154" s="1181"/>
      <c r="AK154" s="1181"/>
    </row>
    <row r="155" spans="1:43" s="1773" customFormat="1" ht="17.25" customHeight="1">
      <c r="A155" s="1760"/>
      <c r="C155" s="1765"/>
      <c r="D155" s="1751"/>
      <c r="E155" s="1767"/>
      <c r="F155" s="1704"/>
      <c r="G155" s="1768"/>
      <c r="H155" s="1751"/>
      <c r="I155" s="1751"/>
      <c r="J155" s="1769"/>
      <c r="K155" s="1676"/>
      <c r="L155" s="1883"/>
      <c r="M155" s="1883"/>
      <c r="N155" s="2026"/>
      <c r="O155" s="1890"/>
      <c r="P155" s="236"/>
      <c r="Q155" s="237"/>
      <c r="R155" s="237" t="s">
        <v>434</v>
      </c>
      <c r="S155" s="1766"/>
      <c r="T155" s="1766"/>
      <c r="U155" s="1766"/>
      <c r="V155" s="1766"/>
      <c r="W155" s="238"/>
      <c r="Y155" s="1181"/>
      <c r="Z155" s="1181"/>
      <c r="AA155" s="1181"/>
      <c r="AB155" s="1181"/>
      <c r="AC155" s="1181"/>
      <c r="AD155" s="1181"/>
      <c r="AE155" s="1181"/>
      <c r="AF155" s="1181"/>
      <c r="AG155" s="1181"/>
      <c r="AH155" s="1181"/>
      <c r="AI155" s="1181"/>
      <c r="AJ155" s="1181"/>
      <c r="AK155" s="1181"/>
    </row>
    <row r="156" spans="1:43" ht="17.25" customHeight="1">
      <c r="G156" s="1759"/>
      <c r="H156" s="1759"/>
      <c r="I156" s="1759"/>
      <c r="M156"/>
    </row>
    <row r="157" spans="1:43" s="1773" customFormat="1" ht="17.25" customHeight="1">
      <c r="A157" s="1760"/>
      <c r="C157" s="1762"/>
      <c r="D157" s="1751"/>
      <c r="E157" s="1767"/>
      <c r="F157" s="1704"/>
      <c r="G157" s="1768"/>
      <c r="H157" s="1751"/>
      <c r="I157" s="1751"/>
      <c r="J157" s="1769"/>
      <c r="K157" s="1676"/>
      <c r="L157" s="1672"/>
      <c r="M157" s="1672"/>
      <c r="N157" s="1770"/>
      <c r="O157" s="1707"/>
      <c r="P157" s="1886"/>
      <c r="Q157" s="1886" t="s">
        <v>109</v>
      </c>
      <c r="R157" s="2000" t="s">
        <v>18</v>
      </c>
      <c r="S157" s="1885" t="s">
        <v>59</v>
      </c>
      <c r="T157" s="1732"/>
      <c r="U157" s="1732" t="s">
        <v>109</v>
      </c>
      <c r="V157" s="1763" t="s">
        <v>18</v>
      </c>
      <c r="W157" s="1722"/>
      <c r="Y157" s="1188"/>
      <c r="Z157" s="1188"/>
      <c r="AA157" s="1188"/>
      <c r="AB157" s="1188"/>
      <c r="AC157" s="1188"/>
      <c r="AD157" s="1188"/>
      <c r="AE157" s="1188"/>
      <c r="AF157" s="1188"/>
      <c r="AG157" s="1188"/>
      <c r="AH157" s="1188"/>
      <c r="AI157" s="1188"/>
      <c r="AJ157" s="1188"/>
      <c r="AK157" s="1188"/>
      <c r="AL157" s="1764"/>
      <c r="AM157" s="1764"/>
      <c r="AN157" s="1188"/>
      <c r="AO157" s="1188"/>
      <c r="AP157" s="1188"/>
      <c r="AQ157" s="1188"/>
    </row>
    <row r="158" spans="1:43" s="1773" customFormat="1" ht="17.25" customHeight="1">
      <c r="A158" s="1760"/>
      <c r="C158" s="1765"/>
      <c r="D158" s="1751"/>
      <c r="E158" s="1767"/>
      <c r="F158" s="1704"/>
      <c r="G158" s="1768"/>
      <c r="H158" s="1751"/>
      <c r="I158" s="1751"/>
      <c r="J158" s="1769"/>
      <c r="K158" s="1676"/>
      <c r="L158" s="1672"/>
      <c r="M158" s="1672"/>
      <c r="N158" s="1770"/>
      <c r="O158" s="1707"/>
      <c r="P158" s="1886"/>
      <c r="Q158" s="1886"/>
      <c r="R158" s="2000"/>
      <c r="S158" s="1885"/>
      <c r="T158" s="236"/>
      <c r="U158" s="237"/>
      <c r="V158" s="237" t="s">
        <v>433</v>
      </c>
      <c r="W158" s="238"/>
      <c r="Y158" s="1181"/>
      <c r="Z158" s="1181"/>
      <c r="AA158" s="1181"/>
      <c r="AB158" s="1181"/>
      <c r="AC158" s="1181"/>
      <c r="AD158" s="1181"/>
      <c r="AE158" s="1181"/>
      <c r="AF158" s="1181"/>
      <c r="AG158" s="1181"/>
      <c r="AH158" s="1181"/>
      <c r="AI158" s="1181"/>
      <c r="AJ158" s="1181"/>
      <c r="AK158" s="1181"/>
    </row>
    <row r="159" spans="1:43" ht="17.25" customHeight="1">
      <c r="G159" s="1759"/>
      <c r="H159" s="1759"/>
      <c r="I159" s="1759"/>
      <c r="M159"/>
    </row>
    <row r="160" spans="1:43" s="1773" customFormat="1" ht="17.25" customHeight="1">
      <c r="A160" s="1760"/>
      <c r="C160" s="1762"/>
      <c r="D160" s="1751"/>
      <c r="E160" s="1767"/>
      <c r="F160" s="1704"/>
      <c r="G160" s="1768"/>
      <c r="H160" s="1672"/>
      <c r="I160" s="1672"/>
      <c r="J160" s="1673"/>
      <c r="K160" s="1768"/>
      <c r="L160" s="1672"/>
      <c r="M160" s="1672"/>
      <c r="N160" s="1768"/>
      <c r="O160" s="1768"/>
      <c r="P160" s="1672"/>
      <c r="Q160" s="1672"/>
      <c r="R160" s="1674"/>
      <c r="S160" s="1768"/>
      <c r="T160" s="1732"/>
      <c r="U160" s="1732" t="s">
        <v>109</v>
      </c>
      <c r="V160" s="1763" t="s">
        <v>18</v>
      </c>
      <c r="W160" s="1722"/>
      <c r="Y160" s="1188"/>
      <c r="Z160" s="1188"/>
      <c r="AA160" s="1188"/>
      <c r="AB160" s="1188"/>
      <c r="AC160" s="1188"/>
      <c r="AD160" s="1188"/>
      <c r="AE160" s="1188"/>
      <c r="AF160" s="1188"/>
      <c r="AG160" s="1188"/>
      <c r="AH160" s="1188"/>
      <c r="AI160" s="1188"/>
      <c r="AJ160" s="1188"/>
      <c r="AK160" s="1188"/>
      <c r="AL160" s="1764"/>
      <c r="AM160" s="1764"/>
      <c r="AN160" s="1188"/>
      <c r="AO160" s="1188"/>
      <c r="AP160" s="1188"/>
      <c r="AQ160" s="1188"/>
    </row>
    <row r="162" spans="1:43" s="1736" customFormat="1" ht="17.25" customHeight="1">
      <c r="A162" s="1736" t="s">
        <v>437</v>
      </c>
    </row>
    <row r="163" spans="1:43" ht="17.25" customHeight="1">
      <c r="G163" s="1759"/>
      <c r="H163" s="1759"/>
      <c r="I163" s="1759"/>
      <c r="M163"/>
    </row>
    <row r="164" spans="1:43" s="1773" customFormat="1" ht="17.25" customHeight="1">
      <c r="A164" s="1760"/>
      <c r="C164" s="1762"/>
      <c r="D164" s="1996"/>
      <c r="E164" s="1896"/>
      <c r="F164" s="1898"/>
      <c r="G164" s="2001"/>
      <c r="H164" s="1996"/>
      <c r="I164" s="1996">
        <v>1</v>
      </c>
      <c r="J164" s="2027"/>
      <c r="K164" s="1941" t="s">
        <v>59</v>
      </c>
      <c r="L164" s="1886"/>
      <c r="M164" s="1886" t="s">
        <v>109</v>
      </c>
      <c r="N164" s="2025" t="str">
        <f>IF(Z164="","",INDEX(TERRITORY_MR_LIST,MATCH(Z164,TERRITORY_LIST_ID,0)))</f>
        <v/>
      </c>
      <c r="O164" s="1941" t="s">
        <v>59</v>
      </c>
      <c r="P164" s="1886"/>
      <c r="Q164" s="1886" t="s">
        <v>109</v>
      </c>
      <c r="R164" s="2000" t="s">
        <v>18</v>
      </c>
      <c r="S164" s="2062" t="s">
        <v>57</v>
      </c>
      <c r="T164" s="1723"/>
      <c r="U164" s="1723" t="s">
        <v>109</v>
      </c>
      <c r="V164" s="1351"/>
      <c r="W164" s="2027"/>
      <c r="Y164" s="1188"/>
      <c r="Z164" s="1188"/>
      <c r="AA164" s="1188"/>
      <c r="AB164" s="1188"/>
      <c r="AC164" s="1188"/>
      <c r="AD164" s="1188"/>
      <c r="AE164" s="1188"/>
      <c r="AF164" s="1188"/>
      <c r="AG164" s="1188"/>
      <c r="AH164" s="1188"/>
      <c r="AI164" s="1188"/>
      <c r="AJ164" s="1188"/>
      <c r="AK164" s="1188"/>
      <c r="AL164" s="1764"/>
      <c r="AM164" s="1764"/>
      <c r="AN164" s="1188"/>
      <c r="AO164" s="1188"/>
      <c r="AP164" s="1188"/>
      <c r="AQ164" s="1188"/>
    </row>
    <row r="165" spans="1:43" s="1773" customFormat="1" ht="17.25" customHeight="1">
      <c r="A165" s="1760"/>
      <c r="C165" s="1765"/>
      <c r="D165" s="1996"/>
      <c r="E165" s="1896"/>
      <c r="F165" s="1899"/>
      <c r="G165" s="2001"/>
      <c r="H165" s="1996"/>
      <c r="I165" s="1996"/>
      <c r="J165" s="2027"/>
      <c r="K165" s="1942"/>
      <c r="L165" s="1886"/>
      <c r="M165" s="1886"/>
      <c r="N165" s="2025"/>
      <c r="O165" s="1942"/>
      <c r="P165" s="1886"/>
      <c r="Q165" s="1886"/>
      <c r="R165" s="2000"/>
      <c r="S165" s="2062"/>
      <c r="T165" s="1352"/>
      <c r="U165" s="1353"/>
      <c r="V165" s="1353"/>
      <c r="W165" s="2027"/>
      <c r="Y165" s="1181"/>
      <c r="Z165" s="1181"/>
      <c r="AA165" s="1181"/>
      <c r="AB165" s="1181"/>
      <c r="AC165" s="1181"/>
      <c r="AD165" s="1181"/>
      <c r="AE165" s="1181"/>
      <c r="AF165" s="1181"/>
      <c r="AG165" s="1181"/>
      <c r="AH165" s="1181"/>
      <c r="AI165" s="1181"/>
      <c r="AJ165" s="1181"/>
      <c r="AK165" s="1181"/>
    </row>
    <row r="166" spans="1:43" s="1773" customFormat="1" ht="17.25" customHeight="1">
      <c r="A166" s="1760"/>
      <c r="C166" s="1765"/>
      <c r="D166" s="1883"/>
      <c r="E166" s="1897"/>
      <c r="F166" s="1899"/>
      <c r="G166" s="2002"/>
      <c r="H166" s="1883"/>
      <c r="I166" s="1883"/>
      <c r="J166" s="2028"/>
      <c r="K166" s="1942"/>
      <c r="L166" s="1883"/>
      <c r="M166" s="1883"/>
      <c r="N166" s="2026"/>
      <c r="O166" s="1890"/>
      <c r="P166" s="236"/>
      <c r="Q166" s="237"/>
      <c r="R166" s="237" t="s">
        <v>434</v>
      </c>
      <c r="S166" s="1766"/>
      <c r="T166" s="1766"/>
      <c r="U166" s="1766"/>
      <c r="V166" s="1766"/>
      <c r="W166" s="1350"/>
      <c r="Y166" s="1181"/>
      <c r="Z166" s="1181"/>
      <c r="AA166" s="1181"/>
      <c r="AB166" s="1181"/>
      <c r="AC166" s="1181"/>
      <c r="AD166" s="1181"/>
      <c r="AE166" s="1181"/>
      <c r="AF166" s="1181"/>
      <c r="AG166" s="1181"/>
      <c r="AH166" s="1181"/>
      <c r="AI166" s="1181"/>
      <c r="AJ166" s="1181"/>
      <c r="AK166" s="1181"/>
    </row>
    <row r="167" spans="1:43" s="1773" customFormat="1" ht="17.25" customHeight="1">
      <c r="A167" s="1760"/>
      <c r="C167" s="1765"/>
      <c r="D167" s="1883"/>
      <c r="E167" s="1897"/>
      <c r="F167" s="1899"/>
      <c r="G167" s="2002"/>
      <c r="H167" s="1883"/>
      <c r="I167" s="1883"/>
      <c r="J167" s="2028"/>
      <c r="K167" s="1890"/>
      <c r="L167" s="236"/>
      <c r="M167" s="237"/>
      <c r="N167" s="237" t="s">
        <v>435</v>
      </c>
      <c r="O167" s="237"/>
      <c r="P167" s="237"/>
      <c r="Q167" s="237"/>
      <c r="R167" s="237"/>
      <c r="S167" s="1766"/>
      <c r="T167" s="1766"/>
      <c r="U167" s="1766"/>
      <c r="V167" s="1766"/>
      <c r="W167" s="238"/>
      <c r="Y167" s="1181"/>
      <c r="Z167" s="1181"/>
      <c r="AA167" s="1181"/>
      <c r="AB167" s="1181"/>
      <c r="AC167" s="1181"/>
      <c r="AD167" s="1181"/>
      <c r="AE167" s="1181"/>
      <c r="AF167" s="1181"/>
      <c r="AG167" s="1181"/>
      <c r="AH167" s="1181"/>
      <c r="AI167" s="1181"/>
      <c r="AJ167" s="1181"/>
      <c r="AK167" s="1181"/>
    </row>
    <row r="168" spans="1:43" s="1773" customFormat="1" ht="17.25" customHeight="1">
      <c r="A168" s="1760"/>
      <c r="C168" s="1765"/>
      <c r="D168" s="1883"/>
      <c r="E168" s="1897"/>
      <c r="F168" s="1900"/>
      <c r="G168" s="2002"/>
      <c r="H168" s="236"/>
      <c r="I168" s="237"/>
      <c r="J168" s="237" t="s">
        <v>436</v>
      </c>
      <c r="K168" s="237"/>
      <c r="L168" s="237"/>
      <c r="M168" s="237"/>
      <c r="N168" s="237"/>
      <c r="O168" s="237"/>
      <c r="P168" s="237"/>
      <c r="Q168" s="237"/>
      <c r="R168" s="237"/>
      <c r="S168" s="1766"/>
      <c r="T168" s="1766"/>
      <c r="U168" s="1766"/>
      <c r="V168" s="1766"/>
      <c r="W168" s="238"/>
      <c r="Y168" s="1181"/>
      <c r="Z168" s="1181"/>
      <c r="AA168" s="1181"/>
      <c r="AB168" s="1181"/>
      <c r="AC168" s="1181"/>
      <c r="AD168" s="1181"/>
      <c r="AE168" s="1181"/>
      <c r="AF168" s="1181"/>
      <c r="AG168" s="1181"/>
      <c r="AH168" s="1181"/>
      <c r="AI168" s="1181"/>
      <c r="AJ168" s="1181"/>
      <c r="AK168" s="1181"/>
    </row>
    <row r="169" spans="1:43" ht="17.25" customHeight="1">
      <c r="A169"/>
    </row>
    <row r="170" spans="1:43" s="1773" customFormat="1" ht="17.25" customHeight="1">
      <c r="A170" s="1760"/>
      <c r="C170" s="1762"/>
      <c r="D170" s="1751"/>
      <c r="E170" s="1767"/>
      <c r="F170" s="1704"/>
      <c r="G170" s="1768"/>
      <c r="H170" s="1996"/>
      <c r="I170" s="1996">
        <v>1</v>
      </c>
      <c r="J170" s="2027"/>
      <c r="K170" s="1941" t="s">
        <v>59</v>
      </c>
      <c r="L170" s="1886"/>
      <c r="M170" s="1886" t="s">
        <v>109</v>
      </c>
      <c r="N170" s="2025" t="str">
        <f>IF(Z170="","",INDEX(TERRITORY_MR_LIST,MATCH(Z170,TERRITORY_LIST_ID,0)))</f>
        <v/>
      </c>
      <c r="O170" s="1941" t="s">
        <v>59</v>
      </c>
      <c r="P170" s="1886"/>
      <c r="Q170" s="1886" t="s">
        <v>109</v>
      </c>
      <c r="R170" s="2000" t="s">
        <v>18</v>
      </c>
      <c r="S170" s="2062" t="s">
        <v>57</v>
      </c>
      <c r="T170" s="1723"/>
      <c r="U170" s="1723" t="s">
        <v>109</v>
      </c>
      <c r="V170" s="1351"/>
      <c r="W170" s="2027"/>
      <c r="Y170" s="1188"/>
      <c r="Z170" s="1188"/>
      <c r="AA170" s="1188"/>
      <c r="AB170" s="1188"/>
      <c r="AC170" s="1188"/>
      <c r="AD170" s="1188"/>
      <c r="AE170" s="1188"/>
      <c r="AF170" s="1188"/>
      <c r="AG170" s="1188"/>
      <c r="AH170" s="1188"/>
      <c r="AI170" s="1188"/>
      <c r="AJ170" s="1188"/>
      <c r="AK170" s="1188"/>
      <c r="AL170" s="1764"/>
      <c r="AM170" s="1764"/>
      <c r="AN170" s="1188"/>
      <c r="AO170" s="1188"/>
      <c r="AP170" s="1188"/>
      <c r="AQ170" s="1188"/>
    </row>
    <row r="171" spans="1:43" s="1773" customFormat="1" ht="17.25" customHeight="1">
      <c r="A171" s="1760"/>
      <c r="C171" s="1765"/>
      <c r="D171" s="1751"/>
      <c r="E171" s="1767"/>
      <c r="F171" s="1704"/>
      <c r="G171" s="1768"/>
      <c r="H171" s="1996"/>
      <c r="I171" s="1996"/>
      <c r="J171" s="2027"/>
      <c r="K171" s="1942"/>
      <c r="L171" s="1886"/>
      <c r="M171" s="1886"/>
      <c r="N171" s="2025"/>
      <c r="O171" s="1942"/>
      <c r="P171" s="1886"/>
      <c r="Q171" s="1886"/>
      <c r="R171" s="2000"/>
      <c r="S171" s="2062"/>
      <c r="T171" s="1352"/>
      <c r="U171" s="1353"/>
      <c r="V171" s="1353"/>
      <c r="W171" s="2027"/>
      <c r="Y171" s="1181"/>
      <c r="Z171" s="1181"/>
      <c r="AA171" s="1181"/>
      <c r="AB171" s="1181"/>
      <c r="AC171" s="1181"/>
      <c r="AD171" s="1181"/>
      <c r="AE171" s="1181"/>
      <c r="AF171" s="1181"/>
      <c r="AG171" s="1181"/>
      <c r="AH171" s="1181"/>
      <c r="AI171" s="1181"/>
      <c r="AJ171" s="1181"/>
      <c r="AK171" s="1181"/>
    </row>
    <row r="172" spans="1:43" s="1773" customFormat="1" ht="17.25" customHeight="1">
      <c r="A172" s="1760"/>
      <c r="C172" s="1765"/>
      <c r="D172" s="1751"/>
      <c r="E172" s="1767"/>
      <c r="F172" s="1704"/>
      <c r="G172" s="1768"/>
      <c r="H172" s="1883"/>
      <c r="I172" s="1883"/>
      <c r="J172" s="2028"/>
      <c r="K172" s="1942"/>
      <c r="L172" s="1883"/>
      <c r="M172" s="1883"/>
      <c r="N172" s="2026"/>
      <c r="O172" s="1890"/>
      <c r="P172" s="236"/>
      <c r="Q172" s="237"/>
      <c r="R172" s="237" t="s">
        <v>434</v>
      </c>
      <c r="S172" s="1766"/>
      <c r="T172" s="1766"/>
      <c r="U172" s="1766"/>
      <c r="V172" s="1766"/>
      <c r="W172" s="1350"/>
      <c r="Y172" s="1181"/>
      <c r="Z172" s="1181"/>
      <c r="AA172" s="1181"/>
      <c r="AB172" s="1181"/>
      <c r="AC172" s="1181"/>
      <c r="AD172" s="1181"/>
      <c r="AE172" s="1181"/>
      <c r="AF172" s="1181"/>
      <c r="AG172" s="1181"/>
      <c r="AH172" s="1181"/>
      <c r="AI172" s="1181"/>
      <c r="AJ172" s="1181"/>
      <c r="AK172" s="1181"/>
    </row>
    <row r="173" spans="1:43" s="1773" customFormat="1" ht="17.25" customHeight="1">
      <c r="A173" s="1760"/>
      <c r="C173" s="1765"/>
      <c r="D173" s="1751"/>
      <c r="E173" s="1767"/>
      <c r="F173" s="1704"/>
      <c r="G173" s="1768"/>
      <c r="H173" s="1883"/>
      <c r="I173" s="1883"/>
      <c r="J173" s="2028"/>
      <c r="K173" s="1890"/>
      <c r="L173" s="236"/>
      <c r="M173" s="237"/>
      <c r="N173" s="237" t="s">
        <v>435</v>
      </c>
      <c r="O173" s="237"/>
      <c r="P173" s="237"/>
      <c r="Q173" s="237"/>
      <c r="R173" s="237"/>
      <c r="S173" s="1766"/>
      <c r="T173" s="1766"/>
      <c r="U173" s="1766"/>
      <c r="V173" s="1766"/>
      <c r="W173" s="238"/>
      <c r="Y173" s="1181"/>
      <c r="Z173" s="1181"/>
      <c r="AA173" s="1181"/>
      <c r="AB173" s="1181"/>
      <c r="AC173" s="1181"/>
      <c r="AD173" s="1181"/>
      <c r="AE173" s="1181"/>
      <c r="AF173" s="1181"/>
      <c r="AG173" s="1181"/>
      <c r="AH173" s="1181"/>
      <c r="AI173" s="1181"/>
      <c r="AJ173" s="1181"/>
      <c r="AK173" s="1181"/>
    </row>
    <row r="174" spans="1:43" ht="17.25" customHeight="1">
      <c r="A174"/>
    </row>
    <row r="175" spans="1:43" s="1773" customFormat="1" ht="17.25" customHeight="1">
      <c r="A175" s="1760"/>
      <c r="C175" s="1762"/>
      <c r="D175" s="1751"/>
      <c r="E175" s="1767"/>
      <c r="F175" s="1704"/>
      <c r="G175" s="1768"/>
      <c r="H175" s="1751"/>
      <c r="I175" s="1751"/>
      <c r="J175" s="1771"/>
      <c r="K175" s="1768"/>
      <c r="L175" s="1886"/>
      <c r="M175" s="1886" t="s">
        <v>109</v>
      </c>
      <c r="N175" s="2025" t="str">
        <f>IF(Z175="","",INDEX(TERRITORY_MR_LIST,MATCH(Z175,TERRITORY_LIST_ID,0)))</f>
        <v/>
      </c>
      <c r="O175" s="1941" t="s">
        <v>59</v>
      </c>
      <c r="P175" s="1886"/>
      <c r="Q175" s="1886" t="s">
        <v>109</v>
      </c>
      <c r="R175" s="2000" t="s">
        <v>18</v>
      </c>
      <c r="S175" s="2062" t="s">
        <v>57</v>
      </c>
      <c r="T175" s="1723"/>
      <c r="U175" s="1723" t="s">
        <v>109</v>
      </c>
      <c r="V175" s="1351"/>
      <c r="W175" s="2027"/>
      <c r="Y175" s="1188"/>
      <c r="Z175" s="1188"/>
      <c r="AA175" s="1188"/>
      <c r="AB175" s="1188"/>
      <c r="AC175" s="1188"/>
      <c r="AD175" s="1188"/>
      <c r="AE175" s="1188"/>
      <c r="AF175" s="1188"/>
      <c r="AG175" s="1188"/>
      <c r="AH175" s="1188"/>
      <c r="AI175" s="1188"/>
      <c r="AJ175" s="1188"/>
      <c r="AK175" s="1188"/>
      <c r="AL175" s="1764"/>
      <c r="AM175" s="1764"/>
      <c r="AN175" s="1188"/>
      <c r="AO175" s="1188"/>
      <c r="AP175" s="1188"/>
      <c r="AQ175" s="1188"/>
    </row>
    <row r="176" spans="1:43" s="1773" customFormat="1" ht="17.25" customHeight="1">
      <c r="A176" s="1760"/>
      <c r="C176" s="1765"/>
      <c r="D176" s="1751"/>
      <c r="E176" s="1767"/>
      <c r="F176" s="1704"/>
      <c r="G176" s="1768"/>
      <c r="H176" s="1751"/>
      <c r="I176" s="1751"/>
      <c r="J176" s="1771"/>
      <c r="K176" s="1768"/>
      <c r="L176" s="1886"/>
      <c r="M176" s="1886"/>
      <c r="N176" s="2025"/>
      <c r="O176" s="1942"/>
      <c r="P176" s="1886"/>
      <c r="Q176" s="1886"/>
      <c r="R176" s="2000"/>
      <c r="S176" s="2062"/>
      <c r="T176" s="1352"/>
      <c r="U176" s="1353"/>
      <c r="V176" s="1353"/>
      <c r="W176" s="2027"/>
      <c r="Y176" s="1181"/>
      <c r="Z176" s="1181"/>
      <c r="AA176" s="1181"/>
      <c r="AB176" s="1181"/>
      <c r="AC176" s="1181"/>
      <c r="AD176" s="1181"/>
      <c r="AE176" s="1181"/>
      <c r="AF176" s="1181"/>
      <c r="AG176" s="1181"/>
      <c r="AH176" s="1181"/>
      <c r="AI176" s="1181"/>
      <c r="AJ176" s="1181"/>
      <c r="AK176" s="1181"/>
    </row>
    <row r="177" spans="1:43" s="1773" customFormat="1" ht="17.25" customHeight="1">
      <c r="A177" s="1760"/>
      <c r="C177" s="1765"/>
      <c r="D177" s="1751"/>
      <c r="E177" s="1767"/>
      <c r="F177" s="1704"/>
      <c r="G177" s="1768"/>
      <c r="H177" s="1751"/>
      <c r="I177" s="1751"/>
      <c r="J177" s="1771"/>
      <c r="K177" s="1768"/>
      <c r="L177" s="1883"/>
      <c r="M177" s="1883"/>
      <c r="N177" s="2026"/>
      <c r="O177" s="1890"/>
      <c r="P177" s="236"/>
      <c r="Q177" s="237"/>
      <c r="R177" s="237" t="s">
        <v>434</v>
      </c>
      <c r="S177" s="1766"/>
      <c r="T177" s="1766"/>
      <c r="U177" s="1766"/>
      <c r="V177" s="1766"/>
      <c r="W177" s="1350"/>
      <c r="Y177" s="1181"/>
      <c r="Z177" s="1181"/>
      <c r="AA177" s="1181"/>
      <c r="AB177" s="1181"/>
      <c r="AC177" s="1181"/>
      <c r="AD177" s="1181"/>
      <c r="AE177" s="1181"/>
      <c r="AF177" s="1181"/>
      <c r="AG177" s="1181"/>
      <c r="AH177" s="1181"/>
      <c r="AI177" s="1181"/>
      <c r="AJ177" s="1181"/>
      <c r="AK177" s="1181"/>
    </row>
    <row r="178" spans="1:43" ht="17.25" customHeight="1">
      <c r="A178"/>
    </row>
    <row r="179" spans="1:43" s="1773" customFormat="1" ht="17.25" customHeight="1">
      <c r="A179" s="1760"/>
      <c r="C179" s="1762"/>
      <c r="D179" s="1751"/>
      <c r="E179" s="1767"/>
      <c r="F179" s="1704"/>
      <c r="G179" s="1768"/>
      <c r="H179" s="1751"/>
      <c r="I179" s="1751"/>
      <c r="J179" s="1771"/>
      <c r="K179" s="1768"/>
      <c r="L179" s="1751"/>
      <c r="M179" s="1751"/>
      <c r="N179" s="1770"/>
      <c r="O179" s="1707"/>
      <c r="P179" s="1886"/>
      <c r="Q179" s="1886" t="s">
        <v>109</v>
      </c>
      <c r="R179" s="2000" t="s">
        <v>18</v>
      </c>
      <c r="S179" s="2062" t="s">
        <v>57</v>
      </c>
      <c r="T179" s="1723"/>
      <c r="U179" s="1723" t="s">
        <v>109</v>
      </c>
      <c r="V179" s="1351"/>
      <c r="W179" s="2027"/>
      <c r="Y179" s="1188"/>
      <c r="Z179" s="1188"/>
      <c r="AA179" s="1188"/>
      <c r="AB179" s="1188"/>
      <c r="AC179" s="1188"/>
      <c r="AD179" s="1188"/>
      <c r="AE179" s="1188"/>
      <c r="AF179" s="1188"/>
      <c r="AG179" s="1188"/>
      <c r="AH179" s="1188"/>
      <c r="AI179" s="1188"/>
      <c r="AJ179" s="1188"/>
      <c r="AK179" s="1188"/>
      <c r="AL179" s="1764"/>
      <c r="AM179" s="1764"/>
      <c r="AN179" s="1188"/>
      <c r="AO179" s="1188"/>
      <c r="AP179" s="1188"/>
      <c r="AQ179" s="1188"/>
    </row>
    <row r="180" spans="1:43" s="1773" customFormat="1" ht="17.25" customHeight="1">
      <c r="A180" s="1760"/>
      <c r="C180" s="1765"/>
      <c r="D180" s="1751"/>
      <c r="E180" s="1767"/>
      <c r="F180" s="1704"/>
      <c r="G180" s="1768"/>
      <c r="H180" s="1751"/>
      <c r="I180" s="1751"/>
      <c r="J180" s="1771"/>
      <c r="K180" s="1768"/>
      <c r="L180" s="1751"/>
      <c r="M180" s="1751"/>
      <c r="N180" s="1770"/>
      <c r="O180" s="1707"/>
      <c r="P180" s="1886"/>
      <c r="Q180" s="1886"/>
      <c r="R180" s="2000"/>
      <c r="S180" s="2062"/>
      <c r="T180" s="1352"/>
      <c r="U180" s="1353"/>
      <c r="V180" s="1353"/>
      <c r="W180" s="2027"/>
      <c r="Y180" s="1181"/>
      <c r="Z180" s="1181"/>
      <c r="AA180" s="1181"/>
      <c r="AB180" s="1181"/>
      <c r="AC180" s="1181"/>
      <c r="AD180" s="1181"/>
      <c r="AE180" s="1181"/>
      <c r="AF180" s="1181"/>
      <c r="AG180" s="1181"/>
      <c r="AH180" s="1181"/>
      <c r="AI180" s="1181"/>
      <c r="AJ180" s="1181"/>
      <c r="AK180" s="1181"/>
    </row>
    <row r="181" spans="1:43" ht="17.25" customHeight="1">
      <c r="A181"/>
    </row>
    <row r="182" spans="1:43" ht="16.5" customHeight="1">
      <c r="A182" s="1760"/>
      <c r="B182" s="1761"/>
      <c r="C182" s="1765"/>
      <c r="D182" s="1996"/>
      <c r="E182" s="1938"/>
      <c r="F182" s="1938"/>
      <c r="G182" s="1874"/>
      <c r="H182" s="1901"/>
      <c r="I182" s="1903"/>
      <c r="J182" s="1905"/>
      <c r="K182" s="1893"/>
      <c r="L182" s="1893"/>
      <c r="M182" s="1893"/>
      <c r="N182" s="1908"/>
      <c r="O182" s="1893"/>
      <c r="P182" s="1893"/>
      <c r="Q182" s="1893"/>
      <c r="R182" s="1911"/>
      <c r="S182" s="1893"/>
      <c r="T182" s="1703"/>
      <c r="U182" s="1703"/>
      <c r="V182" s="1772"/>
      <c r="W182" s="1217"/>
    </row>
    <row r="183" spans="1:43" ht="16.5" customHeight="1">
      <c r="A183" s="1760"/>
      <c r="B183" s="1761"/>
      <c r="C183" s="1765"/>
      <c r="D183" s="1996"/>
      <c r="E183" s="1938"/>
      <c r="F183" s="1938"/>
      <c r="G183" s="1874"/>
      <c r="H183" s="1902"/>
      <c r="I183" s="1904"/>
      <c r="J183" s="1906"/>
      <c r="K183" s="1894"/>
      <c r="L183" s="1894"/>
      <c r="M183" s="1894"/>
      <c r="N183" s="1909"/>
      <c r="O183" s="1894"/>
      <c r="P183" s="1894"/>
      <c r="Q183" s="1894"/>
      <c r="R183" s="1910"/>
      <c r="S183" s="1894"/>
      <c r="T183" s="1218"/>
      <c r="U183" s="1218"/>
      <c r="V183" s="1218"/>
      <c r="W183" s="1219"/>
    </row>
    <row r="184" spans="1:43" ht="17.25" customHeight="1">
      <c r="A184" s="1760"/>
      <c r="B184" s="1761"/>
      <c r="C184" s="1765"/>
      <c r="D184" s="1996"/>
      <c r="E184" s="1938"/>
      <c r="F184" s="1938"/>
      <c r="G184" s="1874"/>
      <c r="H184" s="1902"/>
      <c r="I184" s="1904"/>
      <c r="J184" s="1907"/>
      <c r="K184" s="1894"/>
      <c r="L184" s="1894"/>
      <c r="M184" s="1894"/>
      <c r="N184" s="1910"/>
      <c r="O184" s="1894"/>
      <c r="P184" s="1706"/>
      <c r="Q184" s="1218"/>
      <c r="R184" s="1218"/>
      <c r="S184" s="1773"/>
      <c r="T184" s="1773"/>
      <c r="U184" s="1773"/>
      <c r="V184" s="1773"/>
      <c r="W184" s="1219"/>
    </row>
    <row r="185" spans="1:43" ht="17.25" customHeight="1">
      <c r="A185" s="1760"/>
      <c r="B185" s="1761"/>
      <c r="C185" s="1765"/>
      <c r="D185" s="1996"/>
      <c r="E185" s="1938"/>
      <c r="F185" s="1938"/>
      <c r="G185" s="1874"/>
      <c r="H185" s="1902"/>
      <c r="I185" s="1904"/>
      <c r="J185" s="1907"/>
      <c r="K185" s="1894"/>
      <c r="L185" s="1218"/>
      <c r="M185" s="1218"/>
      <c r="N185" s="1218"/>
      <c r="O185" s="1218"/>
      <c r="P185" s="1218"/>
      <c r="Q185" s="1218"/>
      <c r="R185" s="1218"/>
      <c r="S185" s="1773"/>
      <c r="T185" s="1773"/>
      <c r="U185" s="1773"/>
      <c r="V185" s="1773"/>
      <c r="W185" s="1219"/>
    </row>
    <row r="186" spans="1:43" ht="17.25" customHeight="1">
      <c r="A186" s="1760"/>
      <c r="B186" s="1761"/>
      <c r="C186" s="1765"/>
      <c r="D186" s="1996"/>
      <c r="E186" s="1938"/>
      <c r="F186" s="1938"/>
      <c r="G186" s="1874"/>
      <c r="H186" s="1220"/>
      <c r="I186" s="1221"/>
      <c r="J186" s="1221"/>
      <c r="K186" s="1221"/>
      <c r="L186" s="1221"/>
      <c r="M186" s="1221"/>
      <c r="N186" s="1221"/>
      <c r="O186" s="1221"/>
      <c r="P186" s="1221"/>
      <c r="Q186" s="1221"/>
      <c r="R186" s="1221"/>
      <c r="S186" s="1774"/>
      <c r="T186" s="1774"/>
      <c r="U186" s="1774"/>
      <c r="V186" s="1774"/>
      <c r="W186" s="1223"/>
    </row>
    <row r="188" spans="1:43" s="1736" customFormat="1" ht="17.25" customHeight="1">
      <c r="A188" s="1736" t="s">
        <v>438</v>
      </c>
    </row>
    <row r="189" spans="1:43" ht="17.25" customHeight="1">
      <c r="G189" s="1759"/>
      <c r="H189" s="1759"/>
      <c r="I189" s="1759"/>
      <c r="M189"/>
    </row>
    <row r="190" spans="1:43" s="1807" customFormat="1" ht="15" customHeight="1">
      <c r="D190" s="2054"/>
      <c r="E190" s="1933"/>
      <c r="F190" s="1933"/>
      <c r="G190" s="1941"/>
      <c r="H190" s="1486"/>
      <c r="I190" s="2055">
        <v>1</v>
      </c>
      <c r="J190" s="2027"/>
      <c r="K190" s="1500"/>
      <c r="L190" s="1941" t="s">
        <v>59</v>
      </c>
      <c r="M190" s="1941" t="s">
        <v>59</v>
      </c>
      <c r="N190" s="1486"/>
      <c r="O190" s="1886" t="s">
        <v>109</v>
      </c>
      <c r="P190" s="2048"/>
      <c r="Q190" s="1501"/>
      <c r="R190" s="1941" t="s">
        <v>59</v>
      </c>
      <c r="S190" s="1941" t="s">
        <v>59</v>
      </c>
      <c r="T190" s="1775"/>
      <c r="U190" s="1886" t="s">
        <v>109</v>
      </c>
      <c r="V190" s="2050" t="str">
        <f>IF(AK190="","",INDEX(TERRITORY_MR_LIST,MATCH(AK190,TERRITORY_LIST_ID,0)))</f>
        <v/>
      </c>
      <c r="W190" s="1502"/>
      <c r="X190" s="1941" t="s">
        <v>59</v>
      </c>
      <c r="Y190" s="1941" t="s">
        <v>57</v>
      </c>
      <c r="Z190" s="1486"/>
      <c r="AA190" s="1886" t="s">
        <v>109</v>
      </c>
      <c r="AB190" s="2052"/>
      <c r="AC190" s="1503"/>
      <c r="AD190" s="1941" t="s">
        <v>59</v>
      </c>
      <c r="AE190" s="1941" t="s">
        <v>57</v>
      </c>
      <c r="AF190" s="1484"/>
      <c r="AG190" s="1732" t="s">
        <v>109</v>
      </c>
      <c r="AH190" s="1494"/>
      <c r="AI190" s="1722"/>
    </row>
    <row r="191" spans="1:43" s="1807" customFormat="1" ht="15" customHeight="1">
      <c r="D191" s="2054"/>
      <c r="E191" s="1933"/>
      <c r="F191" s="1933"/>
      <c r="G191" s="1942"/>
      <c r="H191" s="1486"/>
      <c r="I191" s="2055"/>
      <c r="J191" s="2027"/>
      <c r="K191" s="1485"/>
      <c r="L191" s="1942"/>
      <c r="M191" s="1942"/>
      <c r="N191" s="1486"/>
      <c r="O191" s="1886"/>
      <c r="P191" s="2048"/>
      <c r="Q191" s="1482"/>
      <c r="R191" s="1942"/>
      <c r="S191" s="1942"/>
      <c r="T191" s="1775"/>
      <c r="U191" s="1886"/>
      <c r="V191" s="2051"/>
      <c r="W191" s="1483"/>
      <c r="X191" s="1942"/>
      <c r="Y191" s="1942"/>
      <c r="Z191" s="1486"/>
      <c r="AA191" s="1886"/>
      <c r="AB191" s="2053"/>
      <c r="AC191" s="1487"/>
      <c r="AD191" s="1890"/>
      <c r="AE191" s="1890"/>
      <c r="AF191" s="1488"/>
      <c r="AG191" s="1489"/>
      <c r="AH191" s="2057" t="s">
        <v>439</v>
      </c>
      <c r="AI191" s="2058"/>
    </row>
    <row r="192" spans="1:43" s="1807" customFormat="1" ht="15" customHeight="1">
      <c r="D192" s="2054"/>
      <c r="E192" s="1933"/>
      <c r="F192" s="1933"/>
      <c r="G192" s="1942"/>
      <c r="H192" s="1486"/>
      <c r="I192" s="2055"/>
      <c r="J192" s="2027"/>
      <c r="K192" s="1485"/>
      <c r="L192" s="1942"/>
      <c r="M192" s="1942"/>
      <c r="N192" s="1486"/>
      <c r="O192" s="1886"/>
      <c r="P192" s="2048"/>
      <c r="Q192" s="1482"/>
      <c r="R192" s="1942"/>
      <c r="S192" s="1942"/>
      <c r="T192" s="1775"/>
      <c r="U192" s="1886"/>
      <c r="V192" s="2051"/>
      <c r="W192" s="1483"/>
      <c r="X192" s="1942"/>
      <c r="Y192" s="1942"/>
      <c r="Z192" s="1524"/>
      <c r="AA192" s="1491"/>
      <c r="AB192" s="2059" t="s">
        <v>440</v>
      </c>
      <c r="AC192" s="2059"/>
      <c r="AD192" s="2059"/>
      <c r="AE192" s="2059"/>
      <c r="AF192" s="2059"/>
      <c r="AG192" s="2059"/>
      <c r="AH192" s="2059"/>
      <c r="AI192" s="2060"/>
    </row>
    <row r="193" spans="1:63" s="1807" customFormat="1" ht="15" customHeight="1">
      <c r="D193" s="2054"/>
      <c r="E193" s="1933"/>
      <c r="F193" s="1933"/>
      <c r="G193" s="1942"/>
      <c r="H193" s="1486"/>
      <c r="I193" s="2055"/>
      <c r="J193" s="2027"/>
      <c r="K193" s="1485"/>
      <c r="L193" s="1942"/>
      <c r="M193" s="1942"/>
      <c r="N193" s="1486"/>
      <c r="O193" s="1886"/>
      <c r="P193" s="2061"/>
      <c r="Q193" s="1482"/>
      <c r="R193" s="1942"/>
      <c r="S193" s="1942"/>
      <c r="T193" s="1776"/>
      <c r="U193" s="1525"/>
      <c r="V193" s="2057" t="s">
        <v>103</v>
      </c>
      <c r="W193" s="2057"/>
      <c r="X193" s="2057"/>
      <c r="Y193" s="2057"/>
      <c r="Z193" s="2057"/>
      <c r="AA193" s="2057"/>
      <c r="AB193" s="2057"/>
      <c r="AC193" s="2057"/>
      <c r="AD193" s="2057"/>
      <c r="AE193" s="2057"/>
      <c r="AF193" s="2057"/>
      <c r="AG193" s="2057"/>
      <c r="AH193" s="2057"/>
      <c r="AI193" s="2058"/>
    </row>
    <row r="194" spans="1:63" s="1807" customFormat="1" ht="11.25" customHeight="1">
      <c r="D194" s="2054"/>
      <c r="E194" s="1933"/>
      <c r="F194" s="1933"/>
      <c r="G194" s="1942"/>
      <c r="H194" s="1490"/>
      <c r="I194" s="2055"/>
      <c r="J194" s="2056"/>
      <c r="K194" s="1485"/>
      <c r="L194" s="1942"/>
      <c r="M194" s="1942"/>
      <c r="N194" s="1490"/>
      <c r="O194" s="1491"/>
      <c r="P194" s="2057" t="s">
        <v>441</v>
      </c>
      <c r="Q194" s="2057"/>
      <c r="R194" s="2057"/>
      <c r="S194" s="2057"/>
      <c r="T194" s="2057"/>
      <c r="U194" s="2057"/>
      <c r="V194" s="2057"/>
      <c r="W194" s="2057"/>
      <c r="X194" s="2057"/>
      <c r="Y194" s="2057"/>
      <c r="Z194" s="2057"/>
      <c r="AA194" s="2057"/>
      <c r="AB194" s="2057"/>
      <c r="AC194" s="2057"/>
      <c r="AD194" s="2057"/>
      <c r="AE194" s="2057"/>
      <c r="AF194" s="2057"/>
      <c r="AG194" s="2057"/>
      <c r="AH194" s="2057"/>
      <c r="AI194" s="2058"/>
    </row>
    <row r="195" spans="1:63" s="1476" customFormat="1" ht="11.25" customHeight="1">
      <c r="D195" s="2054"/>
      <c r="E195" s="1933"/>
      <c r="F195" s="1933"/>
      <c r="G195" s="1890"/>
      <c r="H195" s="1492"/>
      <c r="I195" s="1493"/>
      <c r="J195" s="2057" t="s">
        <v>436</v>
      </c>
      <c r="K195" s="2057"/>
      <c r="L195" s="2057"/>
      <c r="M195" s="2057"/>
      <c r="N195" s="2057"/>
      <c r="O195" s="2057"/>
      <c r="P195" s="2057"/>
      <c r="Q195" s="2057"/>
      <c r="R195" s="2057"/>
      <c r="S195" s="2057"/>
      <c r="T195" s="2057"/>
      <c r="U195" s="2057"/>
      <c r="V195" s="2057"/>
      <c r="W195" s="2057"/>
      <c r="X195" s="2057"/>
      <c r="Y195" s="2057"/>
      <c r="Z195" s="2057"/>
      <c r="AA195" s="2057"/>
      <c r="AB195" s="2057"/>
      <c r="AC195" s="2057"/>
      <c r="AD195" s="2057"/>
      <c r="AE195" s="2057"/>
      <c r="AF195" s="2057"/>
      <c r="AG195" s="2057"/>
      <c r="AH195" s="2057"/>
      <c r="AI195" s="2058"/>
      <c r="BK195"/>
    </row>
    <row r="196" spans="1:63" ht="17.25" customHeight="1">
      <c r="G196" s="1759"/>
      <c r="I196" s="1759"/>
      <c r="J196" s="1759"/>
      <c r="N196"/>
    </row>
    <row r="197" spans="1:63" s="1807" customFormat="1" ht="15" customHeight="1">
      <c r="D197" s="2054"/>
      <c r="E197" s="1933"/>
      <c r="F197" s="1933"/>
      <c r="G197" s="1938"/>
      <c r="H197" s="1520"/>
      <c r="I197" s="1943"/>
      <c r="J197" s="1905"/>
      <c r="K197" s="1705"/>
      <c r="L197" s="1893"/>
      <c r="M197" s="1893"/>
      <c r="N197" s="1505"/>
      <c r="O197" s="1893"/>
      <c r="P197" s="1905"/>
      <c r="Q197" s="1709"/>
      <c r="R197" s="1893"/>
      <c r="S197" s="1893"/>
      <c r="T197" s="1777"/>
      <c r="U197" s="1893"/>
      <c r="V197" s="1905"/>
      <c r="W197" s="1508"/>
      <c r="X197" s="1893"/>
      <c r="Y197" s="1893"/>
      <c r="Z197" s="1505"/>
      <c r="AA197" s="1893"/>
      <c r="AB197" s="1905"/>
      <c r="AC197" s="1509"/>
      <c r="AD197" s="1893"/>
      <c r="AE197" s="1893"/>
      <c r="AF197" s="1703"/>
      <c r="AG197" s="1703"/>
      <c r="AH197" s="1510"/>
      <c r="AI197" s="1217"/>
    </row>
    <row r="198" spans="1:63" s="1807" customFormat="1" ht="15" customHeight="1">
      <c r="D198" s="2054"/>
      <c r="E198" s="1933"/>
      <c r="F198" s="1933"/>
      <c r="G198" s="1938"/>
      <c r="H198" s="1521"/>
      <c r="I198" s="1944"/>
      <c r="J198" s="1906"/>
      <c r="K198" s="1528"/>
      <c r="L198" s="1894"/>
      <c r="M198" s="1894"/>
      <c r="N198" s="1511"/>
      <c r="O198" s="1894"/>
      <c r="P198" s="1906"/>
      <c r="Q198" s="1710"/>
      <c r="R198" s="1894"/>
      <c r="S198" s="1894"/>
      <c r="T198" s="1778"/>
      <c r="U198" s="1894"/>
      <c r="V198" s="1906"/>
      <c r="W198" s="1514"/>
      <c r="X198" s="1894"/>
      <c r="Y198" s="1894"/>
      <c r="Z198" s="1511"/>
      <c r="AA198" s="1894"/>
      <c r="AB198" s="1906"/>
      <c r="AC198" s="1515"/>
      <c r="AD198" s="1894"/>
      <c r="AE198" s="1894"/>
      <c r="AF198" s="1708"/>
      <c r="AG198" s="1708"/>
      <c r="AH198" s="1947"/>
      <c r="AI198" s="1948"/>
    </row>
    <row r="199" spans="1:63" s="1807" customFormat="1" ht="15" customHeight="1">
      <c r="D199" s="2054"/>
      <c r="E199" s="1933"/>
      <c r="F199" s="1933"/>
      <c r="G199" s="1938"/>
      <c r="H199" s="1521"/>
      <c r="I199" s="1944"/>
      <c r="J199" s="1906"/>
      <c r="K199" s="1528"/>
      <c r="L199" s="1894"/>
      <c r="M199" s="1894"/>
      <c r="N199" s="1511"/>
      <c r="O199" s="1894"/>
      <c r="P199" s="1906"/>
      <c r="Q199" s="1710"/>
      <c r="R199" s="1894"/>
      <c r="S199" s="1894"/>
      <c r="T199" s="1778"/>
      <c r="U199" s="1894"/>
      <c r="V199" s="1906"/>
      <c r="W199" s="1514"/>
      <c r="X199" s="1894"/>
      <c r="Y199" s="1894"/>
      <c r="Z199" s="1706"/>
      <c r="AA199" s="1708"/>
      <c r="AB199" s="1947"/>
      <c r="AC199" s="1947"/>
      <c r="AD199" s="1947"/>
      <c r="AE199" s="1947"/>
      <c r="AF199" s="1947"/>
      <c r="AG199" s="1947"/>
      <c r="AH199" s="1947"/>
      <c r="AI199" s="1948"/>
    </row>
    <row r="200" spans="1:63" s="1807" customFormat="1" ht="15" customHeight="1">
      <c r="D200" s="2054"/>
      <c r="E200" s="1933"/>
      <c r="F200" s="1933"/>
      <c r="G200" s="1938"/>
      <c r="H200" s="1521"/>
      <c r="I200" s="1944"/>
      <c r="J200" s="1906"/>
      <c r="K200" s="1528"/>
      <c r="L200" s="1894"/>
      <c r="M200" s="1894"/>
      <c r="N200" s="1511"/>
      <c r="O200" s="1894"/>
      <c r="P200" s="1906"/>
      <c r="Q200" s="1710"/>
      <c r="R200" s="1894"/>
      <c r="S200" s="1894"/>
      <c r="T200" s="1779"/>
      <c r="U200" s="1518"/>
      <c r="V200" s="1947"/>
      <c r="W200" s="1947"/>
      <c r="X200" s="1947"/>
      <c r="Y200" s="1947"/>
      <c r="Z200" s="1947"/>
      <c r="AA200" s="1947"/>
      <c r="AB200" s="1947"/>
      <c r="AC200" s="1947"/>
      <c r="AD200" s="1947"/>
      <c r="AE200" s="1947"/>
      <c r="AF200" s="1947"/>
      <c r="AG200" s="1947"/>
      <c r="AH200" s="1947"/>
      <c r="AI200" s="1948"/>
    </row>
    <row r="201" spans="1:63" s="1807" customFormat="1" ht="11.25" customHeight="1">
      <c r="D201" s="2054"/>
      <c r="E201" s="1933"/>
      <c r="F201" s="1933"/>
      <c r="G201" s="1938"/>
      <c r="H201" s="1522"/>
      <c r="I201" s="1944"/>
      <c r="J201" s="1906"/>
      <c r="K201" s="1528"/>
      <c r="L201" s="1894"/>
      <c r="M201" s="1894"/>
      <c r="N201" s="1708"/>
      <c r="O201" s="1708"/>
      <c r="P201" s="1947"/>
      <c r="Q201" s="1947"/>
      <c r="R201" s="1947"/>
      <c r="S201" s="1947"/>
      <c r="T201" s="1947"/>
      <c r="U201" s="1947"/>
      <c r="V201" s="1947"/>
      <c r="W201" s="1947"/>
      <c r="X201" s="1947"/>
      <c r="Y201" s="1947"/>
      <c r="Z201" s="1947"/>
      <c r="AA201" s="1947"/>
      <c r="AB201" s="1947"/>
      <c r="AC201" s="1947"/>
      <c r="AD201" s="1947"/>
      <c r="AE201" s="1947"/>
      <c r="AF201" s="1947"/>
      <c r="AG201" s="1947"/>
      <c r="AH201" s="1947"/>
      <c r="AI201" s="1948"/>
    </row>
    <row r="202" spans="1:63" s="1476" customFormat="1" ht="11.25" customHeight="1">
      <c r="D202" s="2054"/>
      <c r="E202" s="1933"/>
      <c r="F202" s="1933"/>
      <c r="G202" s="1949"/>
      <c r="H202" s="1519"/>
      <c r="I202" s="1523"/>
      <c r="J202" s="1945"/>
      <c r="K202" s="1945"/>
      <c r="L202" s="1945"/>
      <c r="M202" s="1945"/>
      <c r="N202" s="1945"/>
      <c r="O202" s="1945"/>
      <c r="P202" s="1945"/>
      <c r="Q202" s="1945"/>
      <c r="R202" s="1945"/>
      <c r="S202" s="1945"/>
      <c r="T202" s="1945"/>
      <c r="U202" s="1945"/>
      <c r="V202" s="1945"/>
      <c r="W202" s="1945"/>
      <c r="X202" s="1945"/>
      <c r="Y202" s="1945"/>
      <c r="Z202" s="1945"/>
      <c r="AA202" s="1945"/>
      <c r="AB202" s="1945"/>
      <c r="AC202" s="1945"/>
      <c r="AD202" s="1945"/>
      <c r="AE202" s="1945"/>
      <c r="AF202" s="1945"/>
      <c r="AG202" s="1945"/>
      <c r="AH202" s="1945"/>
      <c r="AI202" s="1946"/>
      <c r="BK202"/>
    </row>
    <row r="203" spans="1:63" ht="17.25" customHeight="1">
      <c r="A203"/>
    </row>
  </sheetData>
  <sheetProtection formatColumns="0" formatRows="0" insertRows="0" deleteColumns="0" deleteRows="0" sort="0" autoFilter="0"/>
  <mergeCells count="285">
    <mergeCell ref="P179:P180"/>
    <mergeCell ref="Q179:Q180"/>
    <mergeCell ref="R179:R180"/>
    <mergeCell ref="S179:S180"/>
    <mergeCell ref="W179:W180"/>
    <mergeCell ref="W170:W171"/>
    <mergeCell ref="L175:L177"/>
    <mergeCell ref="M175:M177"/>
    <mergeCell ref="N175:N177"/>
    <mergeCell ref="O175:O177"/>
    <mergeCell ref="P175:P176"/>
    <mergeCell ref="Q175:Q176"/>
    <mergeCell ref="R175:R176"/>
    <mergeCell ref="S175:S176"/>
    <mergeCell ref="W175:W176"/>
    <mergeCell ref="P157:P158"/>
    <mergeCell ref="Q157:Q158"/>
    <mergeCell ref="R157:R158"/>
    <mergeCell ref="S157:S158"/>
    <mergeCell ref="H170:H173"/>
    <mergeCell ref="I170:I173"/>
    <mergeCell ref="J170:J173"/>
    <mergeCell ref="K170:K173"/>
    <mergeCell ref="L170:L172"/>
    <mergeCell ref="M170:M172"/>
    <mergeCell ref="N170:N172"/>
    <mergeCell ref="O170:O172"/>
    <mergeCell ref="P170:P171"/>
    <mergeCell ref="Q170:Q171"/>
    <mergeCell ref="R170:R171"/>
    <mergeCell ref="S170:S171"/>
    <mergeCell ref="S164:S165"/>
    <mergeCell ref="O148:O150"/>
    <mergeCell ref="P148:P149"/>
    <mergeCell ref="Q148:Q149"/>
    <mergeCell ref="R148:R149"/>
    <mergeCell ref="S148:S149"/>
    <mergeCell ref="L153:L155"/>
    <mergeCell ref="M153:M155"/>
    <mergeCell ref="N153:N155"/>
    <mergeCell ref="O153:O155"/>
    <mergeCell ref="P153:P154"/>
    <mergeCell ref="Q153:Q154"/>
    <mergeCell ref="R153:R154"/>
    <mergeCell ref="S153:S154"/>
    <mergeCell ref="AF89:AF93"/>
    <mergeCell ref="AG89:AG93"/>
    <mergeCell ref="AH89:AH93"/>
    <mergeCell ref="AI89:AI93"/>
    <mergeCell ref="AJ89:AJ93"/>
    <mergeCell ref="AK89:AK93"/>
    <mergeCell ref="N90:N92"/>
    <mergeCell ref="O90:O92"/>
    <mergeCell ref="P90:P92"/>
    <mergeCell ref="Q90:Q92"/>
    <mergeCell ref="R90:R92"/>
    <mergeCell ref="S90:S92"/>
    <mergeCell ref="T90:T92"/>
    <mergeCell ref="U90:U92"/>
    <mergeCell ref="V90:V92"/>
    <mergeCell ref="W90:W92"/>
    <mergeCell ref="X90:X92"/>
    <mergeCell ref="Y90:Y92"/>
    <mergeCell ref="S79:S81"/>
    <mergeCell ref="T79:T81"/>
    <mergeCell ref="U79:U81"/>
    <mergeCell ref="V79:V81"/>
    <mergeCell ref="W79:W81"/>
    <mergeCell ref="X79:X81"/>
    <mergeCell ref="Y79:Y81"/>
    <mergeCell ref="H89:H93"/>
    <mergeCell ref="I89:I93"/>
    <mergeCell ref="J89:J93"/>
    <mergeCell ref="K89:K93"/>
    <mergeCell ref="L89:L93"/>
    <mergeCell ref="M89:M93"/>
    <mergeCell ref="AB197:AB198"/>
    <mergeCell ref="AD197:AD198"/>
    <mergeCell ref="AE197:AE198"/>
    <mergeCell ref="AH198:AI198"/>
    <mergeCell ref="AB199:AI199"/>
    <mergeCell ref="V200:AI200"/>
    <mergeCell ref="P201:AI201"/>
    <mergeCell ref="J202:AI202"/>
    <mergeCell ref="AD190:AD191"/>
    <mergeCell ref="AE190:AE191"/>
    <mergeCell ref="AH191:AI191"/>
    <mergeCell ref="AB192:AI192"/>
    <mergeCell ref="V193:AI193"/>
    <mergeCell ref="P194:AI194"/>
    <mergeCell ref="J195:AI195"/>
    <mergeCell ref="P197:P200"/>
    <mergeCell ref="R197:R200"/>
    <mergeCell ref="S197:S200"/>
    <mergeCell ref="U197:U199"/>
    <mergeCell ref="V197:V199"/>
    <mergeCell ref="X197:X199"/>
    <mergeCell ref="Y197:Y199"/>
    <mergeCell ref="AA197:AA198"/>
    <mergeCell ref="P190:P193"/>
    <mergeCell ref="D197:D202"/>
    <mergeCell ref="E197:E202"/>
    <mergeCell ref="F197:F202"/>
    <mergeCell ref="G197:G202"/>
    <mergeCell ref="I197:I201"/>
    <mergeCell ref="J197:J201"/>
    <mergeCell ref="L197:L201"/>
    <mergeCell ref="M197:M201"/>
    <mergeCell ref="O197:O200"/>
    <mergeCell ref="R190:R193"/>
    <mergeCell ref="S190:S193"/>
    <mergeCell ref="U190:U192"/>
    <mergeCell ref="V190:V192"/>
    <mergeCell ref="X190:X192"/>
    <mergeCell ref="Y190:Y192"/>
    <mergeCell ref="AA190:AA191"/>
    <mergeCell ref="AB190:AB191"/>
    <mergeCell ref="D190:D195"/>
    <mergeCell ref="E190:E195"/>
    <mergeCell ref="F190:F195"/>
    <mergeCell ref="G190:G195"/>
    <mergeCell ref="I190:I194"/>
    <mergeCell ref="J190:J194"/>
    <mergeCell ref="L190:L194"/>
    <mergeCell ref="M190:M194"/>
    <mergeCell ref="O190:O193"/>
    <mergeCell ref="W164:W165"/>
    <mergeCell ref="D164:D168"/>
    <mergeCell ref="E164:E168"/>
    <mergeCell ref="F164:F168"/>
    <mergeCell ref="G164:G168"/>
    <mergeCell ref="H164:H167"/>
    <mergeCell ref="I164:I167"/>
    <mergeCell ref="J164:J167"/>
    <mergeCell ref="K164:K167"/>
    <mergeCell ref="L164:L166"/>
    <mergeCell ref="AJ70:AJ74"/>
    <mergeCell ref="AK70:AK74"/>
    <mergeCell ref="I75:K75"/>
    <mergeCell ref="F70:F75"/>
    <mergeCell ref="AF70:AF74"/>
    <mergeCell ref="AG70:AG74"/>
    <mergeCell ref="AH70:AH74"/>
    <mergeCell ref="AI70:AI74"/>
    <mergeCell ref="S71:S73"/>
    <mergeCell ref="T71:T73"/>
    <mergeCell ref="U71:U73"/>
    <mergeCell ref="V71:V73"/>
    <mergeCell ref="W71:W73"/>
    <mergeCell ref="X71:X73"/>
    <mergeCell ref="Y71:Y73"/>
    <mergeCell ref="H70:H74"/>
    <mergeCell ref="I70:I74"/>
    <mergeCell ref="J70:J74"/>
    <mergeCell ref="K70:K74"/>
    <mergeCell ref="L70:L74"/>
    <mergeCell ref="M70:M74"/>
    <mergeCell ref="N71:N73"/>
    <mergeCell ref="O71:O73"/>
    <mergeCell ref="Y60:Y61"/>
    <mergeCell ref="S60:S61"/>
    <mergeCell ref="T60:T61"/>
    <mergeCell ref="M60:M61"/>
    <mergeCell ref="N60:N61"/>
    <mergeCell ref="O60:O61"/>
    <mergeCell ref="Q60:Q61"/>
    <mergeCell ref="R60:R61"/>
    <mergeCell ref="W60:W61"/>
    <mergeCell ref="X60:X61"/>
    <mergeCell ref="P60:P61"/>
    <mergeCell ref="Q182:Q183"/>
    <mergeCell ref="R182:R183"/>
    <mergeCell ref="S182:S183"/>
    <mergeCell ref="P182:P183"/>
    <mergeCell ref="I182:I185"/>
    <mergeCell ref="F182:F186"/>
    <mergeCell ref="A13:A15"/>
    <mergeCell ref="D19:D21"/>
    <mergeCell ref="E19:E21"/>
    <mergeCell ref="F19:F21"/>
    <mergeCell ref="G19:G20"/>
    <mergeCell ref="H19:H20"/>
    <mergeCell ref="I19:I20"/>
    <mergeCell ref="J19:J20"/>
    <mergeCell ref="G25:G26"/>
    <mergeCell ref="H25:H26"/>
    <mergeCell ref="I25:I26"/>
    <mergeCell ref="J25:J26"/>
    <mergeCell ref="M164:M166"/>
    <mergeCell ref="N164:N166"/>
    <mergeCell ref="O164:O166"/>
    <mergeCell ref="P164:P165"/>
    <mergeCell ref="Q164:Q165"/>
    <mergeCell ref="R164:R165"/>
    <mergeCell ref="D182:D186"/>
    <mergeCell ref="I142:I145"/>
    <mergeCell ref="H182:H185"/>
    <mergeCell ref="J182:J185"/>
    <mergeCell ref="K182:K185"/>
    <mergeCell ref="M182:M184"/>
    <mergeCell ref="O182:O184"/>
    <mergeCell ref="L182:L184"/>
    <mergeCell ref="L142:L144"/>
    <mergeCell ref="N182:N184"/>
    <mergeCell ref="E142:E146"/>
    <mergeCell ref="N142:N144"/>
    <mergeCell ref="J142:J145"/>
    <mergeCell ref="F142:F146"/>
    <mergeCell ref="E182:E186"/>
    <mergeCell ref="H142:H145"/>
    <mergeCell ref="G182:G186"/>
    <mergeCell ref="H148:H151"/>
    <mergeCell ref="I148:I151"/>
    <mergeCell ref="J148:J151"/>
    <mergeCell ref="K148:K151"/>
    <mergeCell ref="L148:L150"/>
    <mergeCell ref="M148:M150"/>
    <mergeCell ref="N148:N150"/>
    <mergeCell ref="AC103:AC108"/>
    <mergeCell ref="E104:G104"/>
    <mergeCell ref="H104:R104"/>
    <mergeCell ref="E105:G105"/>
    <mergeCell ref="E127:E130"/>
    <mergeCell ref="F127:F130"/>
    <mergeCell ref="G127:G130"/>
    <mergeCell ref="L127:M127"/>
    <mergeCell ref="S127:S130"/>
    <mergeCell ref="H128:H129"/>
    <mergeCell ref="I128:I129"/>
    <mergeCell ref="J128:J129"/>
    <mergeCell ref="K128:K129"/>
    <mergeCell ref="H105:R105"/>
    <mergeCell ref="E106:P106"/>
    <mergeCell ref="U106:U108"/>
    <mergeCell ref="V106:V108"/>
    <mergeCell ref="E109:P109"/>
    <mergeCell ref="AC115:AC120"/>
    <mergeCell ref="E116:G116"/>
    <mergeCell ref="H116:R116"/>
    <mergeCell ref="E117:G117"/>
    <mergeCell ref="H117:R117"/>
    <mergeCell ref="E118:P118"/>
    <mergeCell ref="D115:D123"/>
    <mergeCell ref="E115:G115"/>
    <mergeCell ref="H115:R115"/>
    <mergeCell ref="D103:D111"/>
    <mergeCell ref="E103:G103"/>
    <mergeCell ref="H103:R103"/>
    <mergeCell ref="M142:M144"/>
    <mergeCell ref="P71:P73"/>
    <mergeCell ref="Q71:Q73"/>
    <mergeCell ref="R71:R73"/>
    <mergeCell ref="N79:N81"/>
    <mergeCell ref="O79:O81"/>
    <mergeCell ref="P79:P81"/>
    <mergeCell ref="Q79:Q81"/>
    <mergeCell ref="R79:R81"/>
    <mergeCell ref="H135:H136"/>
    <mergeCell ref="I135:I136"/>
    <mergeCell ref="J135:J136"/>
    <mergeCell ref="K135:K136"/>
    <mergeCell ref="F60:F61"/>
    <mergeCell ref="G60:G61"/>
    <mergeCell ref="H60:H61"/>
    <mergeCell ref="I60:I61"/>
    <mergeCell ref="J60:J61"/>
    <mergeCell ref="K60:K61"/>
    <mergeCell ref="U109:U111"/>
    <mergeCell ref="V109:V111"/>
    <mergeCell ref="D142:D146"/>
    <mergeCell ref="L60:L61"/>
    <mergeCell ref="G70:G74"/>
    <mergeCell ref="U121:U123"/>
    <mergeCell ref="V121:V123"/>
    <mergeCell ref="O142:O144"/>
    <mergeCell ref="S142:S143"/>
    <mergeCell ref="U60:U61"/>
    <mergeCell ref="V60:V61"/>
    <mergeCell ref="U118:U120"/>
    <mergeCell ref="V118:V120"/>
    <mergeCell ref="P142:P143"/>
    <mergeCell ref="Q142:Q143"/>
    <mergeCell ref="R142:R143"/>
    <mergeCell ref="G142:G146"/>
    <mergeCell ref="K142:K145"/>
  </mergeCells>
  <dataValidations count="19">
    <dataValidation type="list" errorStyle="warning" allowBlank="1" showInputMessage="1" errorTitle="Ошибка" error="Выберите значение из списка" prompt="Выберите значение из списка или укажите свой вид твердых коммунальных отходов" sqref="AC190 AC197">
      <formula1>list_typeTKO</formula1>
    </dataValidation>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42:N144 N164:N166 N148:N150 N153:N155 N157:N158 N170:N172 N175:N177 N179:N180"/>
    <dataValidation type="list" allowBlank="1" showInputMessage="1" showErrorMessage="1" errorTitle="Ошибка" error="Выберите значение из списка" prompt="Выберите значение из списка" sqref="H98">
      <formula1>QRE_METHOD_LIST</formula1>
    </dataValidation>
    <dataValidation type="list" allowBlank="1" showInputMessage="1" showErrorMessage="1" errorTitle="Ошибка" error="Выберите значение из списка" prompt="Выберите значение из списка" sqref="J128:J129 J135:J136 J138">
      <formula1>kind_of_purchase_method</formula1>
    </dataValidation>
    <dataValidation allowBlank="1" showInputMessage="1" showErrorMessage="1" promptTitle="Ввод" prompt="Для выбора ИП необходимо два раза нажать левую кнопку мыши!" sqref="G60 G65"/>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F48"/>
    <dataValidation type="whole" allowBlank="1" showErrorMessage="1" errorTitle="Ошибка" error="Допускается ввод только неотрицательных целых чисел!" sqref="AF79:AF81 AI79:AI81 AF89:AF93 AI89:AI93 AF85 AI85 AF70:AF74 AI70:AI74 N48 P48 U48:V48 Y48:Z48 J48 R48:S48 AC48">
      <formula1>0</formula1>
      <formula2>9.99999999999999E+23</formula2>
    </dataValidation>
    <dataValidation type="list" allowBlank="1" showInputMessage="1" showErrorMessage="1" errorTitle="Ошибка" error="Выберите значение из списка" prompt="Выберите значение из списка" sqref="L48">
      <formula1>kind_of_power_te_unit</formula1>
    </dataValidation>
    <dataValidation allowBlank="1" showInputMessage="1" showErrorMessage="1" prompt="Изменение значения по двойному щелчоку левой кнопки мыши" sqref="J44"/>
    <dataValidation type="list" allowBlank="1" showInputMessage="1" showErrorMessage="1" sqref="I30">
      <formula1>DESCRIPTION_TERRITORY</formula1>
    </dataValidation>
    <dataValidation type="textLength" operator="lessThan" allowBlank="1" showInputMessage="1" showErrorMessage="1" error="Допускается ввод не более 900 символов!" sqref="M25 M19">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F35 I70:J73 K60 K65 I85:J85 I89:J92">
      <formula1>"a"</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K44 H52 F56">
      <formula1>900</formula1>
    </dataValidation>
    <dataValidation type="list" allowBlank="1" showInputMessage="1" showErrorMessage="1" errorTitle="Ошибка" error="Выберите значение из списка"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82:N184">
      <formula1>DESCRIPTION_TERRITORY</formula1>
    </dataValidation>
    <dataValidation allowBlank="1" showInputMessage="1" showErrorMessage="1" prompt="Выберите виды деятельности, выполнив двойной щелчок левой кнопки мыши по ячейке." sqref="G153:G155 G160 G142:G146 G179:G180 G148:G151 G164:G168 G170:G173 G175:G177 G157:G158"/>
    <dataValidation type="decimal" allowBlank="1" showErrorMessage="1" errorTitle="Ошибка" error="Допускается ввод только неотрицательных чисел!" sqref="Q135 O135 O138 Q138 Q128 O128 AC72 AE72 AC80 AE80 AE85 AE91 AC91 AC85 H48:I48 T48 X48 AB48 O48 Q48 K48 M48">
      <formula1>0</formula1>
      <formula2>9.99999999999999E+23</formula2>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52 T60 I60:J60 X60 T65 I65:J65 X65"/>
    <dataValidation allowBlank="1" showInputMessage="1" showErrorMessage="1" prompt="Для выбора выполните двойной щелчок левой клавиши мыши по соответствующей ячейке." sqref="K182:K183 O182:O183 S142:S143 S182:S183 O142 K142 F153:F155 S164:S165 O164 K164 F160 K148 S148:S149 O148 F142:F146 K153 S153:S154 O153 O179 K157 S157:S158 O157 F148:F151 K170 S170:S171 O170 F164:F168 F170:F173 S175:S176 O175 F175:F177 F179:F180 S179:S180 F157:F158"/>
    <dataValidation type="textLength" operator="lessThanOrEqual" allowBlank="1" showInputMessage="1" showErrorMessage="1" errorTitle="Ошибка" error="Допускается ввод не более 900 символов!" sqref="L60:M60 E8 J182:J183 R182:R183 U60:W60 V182:W182 AB60 G13 M30 E35 E39:F39 E48 E52:F52 E56 G56 Q60:S60 M70 K70:K73 V142:W142 J142:J143 R142:R143 V164:W164 J164:J165 R164:R165 AI190 J190:J194 P190:P193 AI197 J197:J201 P197:P200 E4 L65:M65 U65:W65 AB65 Q65:S65 V160:W160 J160 R160 K79:K81 M89 K89:K92 K85 V148:W148 J148:J149 R148:R149 V153:W153 J153:J154 R153:R154 V157:W157 J157:J158 R157:R158 V170:W170 J170:J171 R170:R171 V175:W175 J175:J176 R175:R176 V179:W179 J179:J180 R179:R180">
      <formula1>900</formula1>
    </dataValidation>
  </dataValidations>
  <pageMargins left="0.75" right="0.75" top="1" bottom="1" header="0.5" footer="0.5"/>
  <pageSetup paperSize="9" orientation="portrait"/>
  <headerFooter>
    <oddHeader>&amp;L&amp;C&amp;R</oddHeader>
    <oddFooter>&amp;L&amp;C&amp;R</oddFooter>
    <evenHeader>&amp;L&amp;C&amp;R</evenHeader>
    <evenFooter>&amp;L&amp;C&amp;R</even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pageSetUpPr fitToPage="1"/>
  </sheetPr>
  <dimension ref="A1:P31"/>
  <sheetViews>
    <sheetView showGridLines="0" topLeftCell="C4" zoomScale="90" workbookViewId="0"/>
  </sheetViews>
  <sheetFormatPr defaultColWidth="10.5703125" defaultRowHeight="14.25" customHeight="1"/>
  <cols>
    <col min="1" max="1" width="9.140625" style="1803" hidden="1" customWidth="1"/>
    <col min="2" max="2" width="9.140625" style="1284" hidden="1" customWidth="1"/>
    <col min="3" max="3" width="3.7109375" style="265" customWidth="1"/>
    <col min="4" max="4" width="6.28515625" style="1552" customWidth="1"/>
    <col min="5" max="6" width="64.140625" style="1552" customWidth="1"/>
    <col min="7" max="7" width="141.140625" style="1552" customWidth="1"/>
    <col min="8" max="8" width="10.5703125" style="1552"/>
    <col min="9" max="10" width="10.5703125" style="1541"/>
    <col min="11" max="16" width="10.5703125" style="1552"/>
  </cols>
  <sheetData>
    <row r="1" spans="1:16" ht="14.25" hidden="1" customHeight="1">
      <c r="M1" s="170"/>
      <c r="N1" s="170"/>
      <c r="P1" s="170"/>
    </row>
    <row r="2" spans="1:16" ht="14.25" hidden="1" customHeight="1"/>
    <row r="3" spans="1:16" ht="14.25" hidden="1" customHeight="1"/>
    <row r="4" spans="1:16" ht="3" customHeight="1">
      <c r="C4" s="26"/>
      <c r="D4" s="15"/>
      <c r="E4" s="15"/>
      <c r="F4" s="16"/>
      <c r="G4" s="16"/>
    </row>
    <row r="5" spans="1:16" ht="25.5" customHeight="1">
      <c r="C5" s="26"/>
      <c r="D5" s="1867" t="str">
        <f>TERMS_NAME_FORM</f>
        <v>Форма 11.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холодного водоснабжения</v>
      </c>
      <c r="E5" s="1868"/>
      <c r="F5" s="1868"/>
      <c r="G5" s="1869"/>
    </row>
    <row r="6" spans="1:16" s="1552" customFormat="1" ht="18" customHeight="1">
      <c r="A6" s="796"/>
      <c r="B6" s="347"/>
      <c r="C6" s="300"/>
      <c r="D6" s="1974" t="str">
        <f>IF(org=0,"Не определено",org)</f>
        <v>АО СЗ "КМАпроектжилстрой"</v>
      </c>
      <c r="E6" s="1975"/>
      <c r="F6" s="1975"/>
      <c r="G6" s="1976"/>
      <c r="I6" s="426"/>
      <c r="J6" s="426"/>
    </row>
    <row r="7" spans="1:16" ht="14.25" customHeight="1">
      <c r="C7" s="26"/>
      <c r="D7" s="15"/>
      <c r="E7" s="25"/>
      <c r="F7" s="666"/>
      <c r="G7" s="110"/>
    </row>
    <row r="8" spans="1:16" s="1552" customFormat="1" ht="0.75" customHeight="1">
      <c r="A8" s="1586"/>
      <c r="B8" s="1062"/>
      <c r="C8" s="300"/>
      <c r="D8" s="286"/>
      <c r="E8" s="318"/>
      <c r="F8" s="666"/>
      <c r="G8" s="110"/>
      <c r="I8" s="1541"/>
      <c r="J8" s="1541"/>
    </row>
    <row r="9" spans="1:16" ht="14.25" customHeight="1">
      <c r="C9" s="26"/>
      <c r="D9" s="1959" t="s">
        <v>291</v>
      </c>
      <c r="E9" s="1959"/>
      <c r="F9" s="1959"/>
      <c r="G9" s="2063" t="s">
        <v>292</v>
      </c>
    </row>
    <row r="10" spans="1:16" ht="14.25" customHeight="1">
      <c r="C10" s="26"/>
      <c r="D10" s="32" t="s">
        <v>88</v>
      </c>
      <c r="E10" s="35" t="s">
        <v>293</v>
      </c>
      <c r="F10" s="35" t="s">
        <v>383</v>
      </c>
      <c r="G10" s="2063"/>
    </row>
    <row r="11" spans="1:16" ht="12" hidden="1" customHeight="1">
      <c r="C11" s="26"/>
      <c r="D11" s="18"/>
      <c r="E11" s="18"/>
      <c r="F11" s="18"/>
      <c r="G11" s="18"/>
    </row>
    <row r="12" spans="1:16" ht="62.25" customHeight="1">
      <c r="A12" s="109"/>
      <c r="C12" s="26"/>
      <c r="D12" s="67">
        <v>1</v>
      </c>
      <c r="E12" s="114" t="str">
        <f>TERMS_P_1</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холодного водоснабжения</v>
      </c>
      <c r="F12" s="115" t="s">
        <v>297</v>
      </c>
      <c r="G12" s="71"/>
    </row>
    <row r="13" spans="1:16" ht="22.5" customHeight="1">
      <c r="A13" s="109"/>
      <c r="C13" s="26"/>
      <c r="D13" s="67" t="s">
        <v>429</v>
      </c>
      <c r="E13" s="111" t="str">
        <f>"Форма публичного договора "&amp;IF(TEMPLATE_SPHERE="TKO","на оказание регулируемых услуг","поставки товаров (оказания услуг)")&amp;IF(OR(TEMPLATE_SPHERE&lt;&gt;"HEAT",TEMPLATE_SPHERE&lt;&gt;"TKO"),", тарифы на которые подлежат регулированию","")</f>
        <v>Форма публичного договора поставки товаров (оказания услуг), тарифы на которые подлежат регулированию</v>
      </c>
      <c r="F13" s="115" t="s">
        <v>297</v>
      </c>
      <c r="G13" s="71"/>
    </row>
    <row r="14" spans="1:16" ht="14.25" customHeight="1">
      <c r="A14" s="109"/>
      <c r="C14" s="26"/>
      <c r="D14" s="67" t="s">
        <v>442</v>
      </c>
      <c r="E14" s="112"/>
      <c r="F14" s="130"/>
      <c r="G14" s="1918" t="str">
        <f>"Указывается форма "&amp;IF(TEMPLATE_SPHERE="TKO","публичного ","")&amp;"договора, "&amp;IF(TEMPLATE_SPHERE="HEAT","","используемая регулируемой организацией, ")&amp;"в виде ссылки на документ, предварительно загруженный в хранилище файлов ФГИС ЕИАС"&amp;IF(TEMPLATE_SPHERE="TKO",", либо ссылка на официальный сайт в сети ""Интернет"", на котором размещена информация","")&amp;".
В случае наличия нескольких форм таких договоров информация по каждой из них указывается в отдельной строке."</f>
        <v>Указывается форма договора, используемая регулируемой организацией, в виде ссылки на документ, предварительно загруженный в хранилище файлов ФГИС ЕИАС.
В случае наличия нескольких форм таких договоров информация по каждой из них указывается в отдельной строке.</v>
      </c>
    </row>
    <row r="15" spans="1:16" ht="15" customHeight="1">
      <c r="A15" s="109"/>
      <c r="C15" s="26"/>
      <c r="D15" s="36"/>
      <c r="E15" s="270" t="s">
        <v>443</v>
      </c>
      <c r="F15" s="118"/>
      <c r="G15" s="1920"/>
    </row>
    <row r="16" spans="1:16" ht="14.25" customHeight="1">
      <c r="A16" s="109"/>
      <c r="C16" s="26"/>
      <c r="D16" s="67" t="s">
        <v>444</v>
      </c>
      <c r="E16" s="111" t="str">
        <f>"Договор о подключении (технологическом присоединении) к"&amp;IF(TEMPLATE_SPHERE="HEAT",""," централизованной")&amp;" системе "&amp;TEMPLATE_SPHERE_RUS</f>
        <v>Договор о подключении (технологическом присоединении) к централизованной системе холодного водоснабжения</v>
      </c>
      <c r="F16" s="115" t="s">
        <v>297</v>
      </c>
      <c r="G16" s="259"/>
    </row>
    <row r="17" spans="1:16" ht="14.25" customHeight="1">
      <c r="A17" s="109"/>
      <c r="C17" s="26"/>
      <c r="D17" s="67" t="s">
        <v>445</v>
      </c>
      <c r="E17" s="112"/>
      <c r="F17" s="314"/>
      <c r="G17" s="1918" t="str">
        <f>"Информация размещается в случае, если"&amp;IF(TEMPLATE_SPHERE="HEAT",""," регулируемая"&amp;" организация осуществляет услуги по подключению (технологическому присоединению) к системе "&amp;TEMPLATE_SPHERE_RUS&amp;".
Указывается ссылка на документ, предварительно загруженный в хранилище файлов ФГИС ЕИАС.
В случае наличия нескольких договоров о подключении к"&amp;IF(TEMPLATE_SPHERE="HEAT",""," централизованной"&amp;" системе "&amp;TEMPLATE_SPHERE_RUS&amp;" информация по каждому из них указывается в отдельной строке."))</f>
        <v>Информация размещается в случае, если регулируемая организация осуществляет услуги по подключению (технологическому присоединению) к системе холодного водоснабжения.
Указывается ссылка на документ, предварительно загруженный в хранилище файлов ФГИС ЕИАС.
В случае наличия нескольких договоров о подключении к централизованной системе холодного водоснабжения информация по каждому из них указывается в отдельной строке.</v>
      </c>
    </row>
    <row r="18" spans="1:16" s="1552" customFormat="1" ht="21" customHeight="1">
      <c r="A18" s="264"/>
      <c r="B18" s="66"/>
      <c r="C18" s="222"/>
      <c r="D18" s="268"/>
      <c r="E18" s="270" t="s">
        <v>446</v>
      </c>
      <c r="F18" s="260"/>
      <c r="G18" s="1920"/>
      <c r="I18" s="271"/>
      <c r="J18" s="271"/>
    </row>
    <row r="19" spans="1:16" s="1552" customFormat="1" ht="256.5" hidden="1" customHeight="1">
      <c r="A19" s="264"/>
      <c r="B19" s="347"/>
      <c r="C19" s="300"/>
      <c r="D19" s="798" t="s">
        <v>447</v>
      </c>
      <c r="E19" s="797" t="s">
        <v>448</v>
      </c>
      <c r="F19" s="314"/>
      <c r="G19" s="259" t="s">
        <v>449</v>
      </c>
      <c r="I19" s="426"/>
      <c r="J19" s="426"/>
    </row>
    <row r="20" spans="1:16" s="1552" customFormat="1" ht="14.25" customHeight="1">
      <c r="A20" s="264"/>
      <c r="B20" s="66"/>
      <c r="C20" s="222"/>
      <c r="D20" s="799">
        <v>2</v>
      </c>
      <c r="E20" s="252" t="s">
        <v>450</v>
      </c>
      <c r="F20" s="115" t="s">
        <v>297</v>
      </c>
      <c r="G20" s="259"/>
      <c r="I20" s="271"/>
      <c r="J20" s="271"/>
    </row>
    <row r="21" spans="1:16" s="1552" customFormat="1" ht="18.75" hidden="1" customHeight="1">
      <c r="A21" s="264"/>
      <c r="B21" s="66"/>
      <c r="C21" s="222"/>
      <c r="D21" s="255" t="s">
        <v>451</v>
      </c>
      <c r="E21" s="254"/>
      <c r="F21" s="253"/>
      <c r="G21" s="263"/>
      <c r="H21" s="256"/>
      <c r="I21" s="271"/>
      <c r="J21" s="271"/>
    </row>
    <row r="22" spans="1:16" ht="15" customHeight="1">
      <c r="A22" s="109"/>
      <c r="C22" s="26"/>
      <c r="D22" s="36"/>
      <c r="E22" s="120" t="s">
        <v>452</v>
      </c>
      <c r="F22" s="260"/>
      <c r="G22" s="261"/>
    </row>
    <row r="23" spans="1:16" s="1552" customFormat="1" ht="22.5" hidden="1" customHeight="1">
      <c r="A23" s="264"/>
      <c r="B23" s="1062"/>
      <c r="C23" s="300"/>
      <c r="D23" s="1590" t="s">
        <v>110</v>
      </c>
      <c r="E23" s="114" t="s">
        <v>453</v>
      </c>
      <c r="F23" s="1587" t="s">
        <v>297</v>
      </c>
      <c r="G23" s="266"/>
      <c r="I23" s="1541"/>
      <c r="J23" s="1541"/>
    </row>
    <row r="24" spans="1:16" s="1552" customFormat="1" ht="14.25" hidden="1" customHeight="1">
      <c r="A24" s="264"/>
      <c r="B24" s="1062"/>
      <c r="C24" s="300"/>
      <c r="D24" s="1590" t="s">
        <v>454</v>
      </c>
      <c r="E24" s="1589" t="s">
        <v>455</v>
      </c>
      <c r="F24" s="1587" t="s">
        <v>297</v>
      </c>
      <c r="G24" s="259"/>
      <c r="I24" s="1541"/>
      <c r="J24" s="1541"/>
    </row>
    <row r="25" spans="1:16" s="1552" customFormat="1" ht="14.25" hidden="1" customHeight="1">
      <c r="A25" s="264"/>
      <c r="B25" s="1062"/>
      <c r="C25" s="300"/>
      <c r="D25" s="1590" t="s">
        <v>456</v>
      </c>
      <c r="E25" s="112"/>
      <c r="F25" s="314"/>
      <c r="G25" s="1918" t="s">
        <v>457</v>
      </c>
      <c r="I25" s="1541"/>
      <c r="J25" s="1541"/>
    </row>
    <row r="26" spans="1:16" s="1552" customFormat="1" ht="22.5" hidden="1" customHeight="1">
      <c r="A26" s="264"/>
      <c r="B26" s="1062"/>
      <c r="C26" s="300"/>
      <c r="D26" s="268"/>
      <c r="E26" s="270" t="s">
        <v>458</v>
      </c>
      <c r="F26" s="260"/>
      <c r="G26" s="1920"/>
      <c r="I26" s="1541"/>
      <c r="J26" s="1541"/>
    </row>
    <row r="27" spans="1:16" ht="3" customHeight="1"/>
    <row r="28" spans="1:16" ht="14.25" customHeight="1">
      <c r="D28" s="258"/>
      <c r="E28" s="257"/>
      <c r="F28" s="233"/>
      <c r="G28" s="233"/>
      <c r="H28" s="233"/>
      <c r="I28" s="233"/>
      <c r="J28" s="233"/>
      <c r="K28" s="233"/>
      <c r="L28" s="233"/>
      <c r="M28" s="233"/>
      <c r="N28" s="233"/>
      <c r="O28" s="233"/>
      <c r="P28" s="233"/>
    </row>
    <row r="29" spans="1:16" ht="14.25" customHeight="1">
      <c r="D29" s="258"/>
      <c r="E29" s="503"/>
    </row>
    <row r="31" spans="1:16" ht="14.25" customHeight="1">
      <c r="E31" s="672"/>
    </row>
  </sheetData>
  <sheetProtection formatColumns="0" formatRows="0" insertRows="0" deleteColumns="0" deleteRows="0" sort="0" autoFilter="0"/>
  <mergeCells count="7">
    <mergeCell ref="D5:G5"/>
    <mergeCell ref="D6:G6"/>
    <mergeCell ref="G25:G26"/>
    <mergeCell ref="G17:G18"/>
    <mergeCell ref="D9:F9"/>
    <mergeCell ref="G9:G10"/>
    <mergeCell ref="G14:G15"/>
  </mergeCells>
  <dataValidations count="2">
    <dataValidation type="textLength" operator="lessThanOrEqual" allowBlank="1" showInputMessage="1" showErrorMessage="1" errorTitle="Ошибка" error="Допускается ввод не более 900 символов!" sqref="G14 G25 E17 E14 G17 G21 E25">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F14 F17:F19 F25:F26">
      <formula1>900</formula1>
    </dataValidation>
  </dataValidations>
  <printOptions horizontalCentered="1" verticalCentered="1"/>
  <pageMargins left="0" right="0" top="0" bottom="0" header="0" footer="0.79"/>
  <pageSetup paperSize="9" scale="38" fitToHeight="0" orientation="portrait" blackAndWhite="1"/>
  <headerFooter>
    <oddHeader>&amp;L&amp;C&amp;R</oddHeader>
    <oddFooter>&amp;L&amp;C&amp;R</oddFooter>
    <evenHeader>&amp;L&amp;C&amp;R</evenHeader>
    <evenFooter>&amp;L&amp;C&amp;R</even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AR64"/>
  <sheetViews>
    <sheetView showGridLines="0" topLeftCell="P25" zoomScale="90" workbookViewId="0"/>
  </sheetViews>
  <sheetFormatPr defaultColWidth="10.5703125" defaultRowHeight="14.25" customHeight="1"/>
  <cols>
    <col min="1" max="1" width="10.5703125" style="1284" hidden="1"/>
    <col min="2" max="2" width="11" style="1284" hidden="1" customWidth="1"/>
    <col min="3" max="3" width="10.5703125" style="1284" hidden="1"/>
    <col min="4" max="4" width="11.85546875" style="1284" hidden="1" customWidth="1"/>
    <col min="5" max="5" width="10" style="1284" hidden="1" customWidth="1"/>
    <col min="6" max="6" width="8.7109375" style="1284" hidden="1" customWidth="1"/>
    <col min="7" max="7" width="7.5703125" style="1284" hidden="1" customWidth="1"/>
    <col min="8" max="8" width="11.42578125" style="1284" hidden="1" customWidth="1"/>
    <col min="9" max="9" width="12" style="1284" hidden="1" customWidth="1"/>
    <col min="10" max="10" width="9.85546875" style="1284" hidden="1" customWidth="1"/>
    <col min="11" max="11" width="11.42578125" style="1284" hidden="1" customWidth="1"/>
    <col min="12" max="12" width="19.140625" style="1799" hidden="1" customWidth="1"/>
    <col min="13" max="14" width="12.28515625" style="1696" hidden="1" customWidth="1"/>
    <col min="15" max="15" width="23.42578125" style="1696" hidden="1" customWidth="1"/>
    <col min="16" max="16" width="3.7109375" style="1803" customWidth="1"/>
    <col min="17" max="18" width="3.7109375" style="265" customWidth="1"/>
    <col min="19" max="19" width="12.7109375" style="1806" customWidth="1"/>
    <col min="20" max="20" width="35.7109375" style="1552" customWidth="1"/>
    <col min="21" max="21" width="0.140625" style="1552" customWidth="1"/>
    <col min="22" max="22" width="24.7109375" style="1552" hidden="1" customWidth="1"/>
    <col min="23" max="23" width="0.140625" style="1552" hidden="1" customWidth="1"/>
    <col min="24" max="25" width="24.7109375" style="1552" hidden="1" customWidth="1"/>
    <col min="26" max="26" width="11.7109375" style="1552" hidden="1" customWidth="1"/>
    <col min="27" max="27" width="3.7109375" style="1552" hidden="1" customWidth="1"/>
    <col min="28" max="28" width="11.7109375" style="1552" hidden="1" customWidth="1"/>
    <col min="29" max="29" width="8.5703125" style="1552" hidden="1" customWidth="1"/>
    <col min="30" max="30" width="24.7109375" style="1552" customWidth="1"/>
    <col min="31" max="31" width="0.140625" style="1552" customWidth="1"/>
    <col min="32" max="33" width="24.7109375" style="1552" customWidth="1"/>
    <col min="34" max="34" width="11.7109375" style="1552" customWidth="1"/>
    <col min="35" max="35" width="3.7109375" style="1552" customWidth="1"/>
    <col min="36" max="36" width="11.7109375" style="1552" customWidth="1"/>
    <col min="37" max="37" width="8.5703125" style="1552" hidden="1" customWidth="1"/>
    <col min="38" max="38" width="4.7109375" style="1552" customWidth="1"/>
    <col min="39" max="39" width="115.7109375" style="1552" customWidth="1"/>
    <col min="40" max="41" width="10.5703125" style="1559"/>
    <col min="42" max="42" width="11.140625" style="1559" customWidth="1"/>
    <col min="43" max="44" width="10.5703125" style="1559"/>
  </cols>
  <sheetData>
    <row r="1" spans="1:44" ht="14.25" hidden="1" customHeight="1">
      <c r="Y1" s="249"/>
      <c r="Z1" s="249"/>
      <c r="AG1" s="249"/>
      <c r="AH1" s="249"/>
    </row>
    <row r="2" spans="1:44" ht="21" hidden="1" customHeight="1">
      <c r="A2" s="1281"/>
      <c r="B2" s="1281"/>
      <c r="C2" s="1281"/>
      <c r="D2" s="1281"/>
      <c r="E2" s="2076">
        <v>1</v>
      </c>
      <c r="F2" s="1281"/>
      <c r="G2" s="1281"/>
      <c r="H2" s="1281"/>
      <c r="I2" s="1281"/>
      <c r="J2" s="1281"/>
      <c r="K2" s="1281"/>
      <c r="L2" s="1282"/>
      <c r="M2" s="1283"/>
      <c r="N2" s="1283"/>
      <c r="O2" s="1283"/>
      <c r="P2" s="282"/>
      <c r="Q2" s="281"/>
      <c r="R2" s="276"/>
      <c r="S2" s="1229" t="e">
        <f>INDEX(PT_DIFFERENTIATION_NUM_NTAR,MATCH(A2,PT_DIFFERENTIATION_NTAR_ID,0))</f>
        <v>#N/A</v>
      </c>
      <c r="T2" s="212" t="s">
        <v>128</v>
      </c>
      <c r="U2" s="214"/>
      <c r="V2" s="2070"/>
      <c r="W2" s="2071"/>
      <c r="X2" s="2071"/>
      <c r="Y2" s="2071"/>
      <c r="Z2" s="2071"/>
      <c r="AA2" s="2071"/>
      <c r="AB2" s="2071"/>
      <c r="AC2" s="2072"/>
      <c r="AD2" s="2070" t="e">
        <f>INDEX(PT_DIFFERENTIATION_NTAR,MATCH(A2,PT_DIFFERENTIATION_NTAR_ID,0))</f>
        <v>#N/A</v>
      </c>
      <c r="AE2" s="2071"/>
      <c r="AF2" s="2071"/>
      <c r="AG2" s="2071"/>
      <c r="AH2" s="2071"/>
      <c r="AI2" s="2071"/>
      <c r="AJ2" s="2071"/>
      <c r="AK2" s="2071"/>
      <c r="AL2" s="2072"/>
      <c r="AM2" s="1179" t="s">
        <v>459</v>
      </c>
      <c r="AO2" s="426"/>
      <c r="AP2" s="426" t="str">
        <f t="shared" ref="AP2:AP15" si="0">IF(T2="","",T2)</f>
        <v>Наименование тарифа</v>
      </c>
      <c r="AQ2" s="426"/>
      <c r="AR2" s="426"/>
    </row>
    <row r="3" spans="1:44" ht="21" hidden="1" customHeight="1">
      <c r="A3" s="1281"/>
      <c r="B3" s="1281"/>
      <c r="C3" s="1281"/>
      <c r="D3" s="1281"/>
      <c r="E3" s="2077"/>
      <c r="F3" s="2076">
        <v>1</v>
      </c>
      <c r="G3" s="1281"/>
      <c r="H3" s="1281"/>
      <c r="I3" s="1281"/>
      <c r="J3" s="1281"/>
      <c r="K3" s="1281"/>
      <c r="L3" s="1282"/>
      <c r="M3" s="1283"/>
      <c r="N3" s="1283"/>
      <c r="O3" s="1283"/>
      <c r="P3" s="1225"/>
      <c r="Q3" s="273"/>
      <c r="R3" s="274"/>
      <c r="S3" s="1229" t="e">
        <f>INDEX(PT_DIFFERENTIATION_NUM_TER,MATCH(B3,PT_DIFFERENTIATION_TER_ID,0))</f>
        <v>#N/A</v>
      </c>
      <c r="T3" s="224" t="s">
        <v>460</v>
      </c>
      <c r="U3" s="214"/>
      <c r="V3" s="2070"/>
      <c r="W3" s="2071"/>
      <c r="X3" s="2071"/>
      <c r="Y3" s="2071"/>
      <c r="Z3" s="2071"/>
      <c r="AA3" s="2071"/>
      <c r="AB3" s="2071"/>
      <c r="AC3" s="2072"/>
      <c r="AD3" s="2070" t="e">
        <f>INDEX(PT_DIFFERENTIATION_TER,MATCH(B3,PT_DIFFERENTIATION_TER_ID,0))</f>
        <v>#N/A</v>
      </c>
      <c r="AE3" s="2071"/>
      <c r="AF3" s="2071"/>
      <c r="AG3" s="2071"/>
      <c r="AH3" s="2071"/>
      <c r="AI3" s="2071"/>
      <c r="AJ3" s="2071"/>
      <c r="AK3" s="2071"/>
      <c r="AL3" s="2072"/>
      <c r="AM3" s="1179" t="s">
        <v>461</v>
      </c>
      <c r="AO3" s="426"/>
      <c r="AP3" s="426" t="str">
        <f t="shared" si="0"/>
        <v>Территория действия тарифа</v>
      </c>
      <c r="AQ3" s="426"/>
      <c r="AR3" s="426"/>
    </row>
    <row r="4" spans="1:44" ht="23.25" hidden="1" customHeight="1">
      <c r="A4" s="1281"/>
      <c r="B4" s="1281"/>
      <c r="C4" s="1281"/>
      <c r="D4" s="1281"/>
      <c r="E4" s="2077"/>
      <c r="F4" s="2077"/>
      <c r="G4" s="2076">
        <v>1</v>
      </c>
      <c r="H4" s="1281"/>
      <c r="I4" s="1281"/>
      <c r="J4" s="1281"/>
      <c r="K4" s="1281"/>
      <c r="L4" s="1282"/>
      <c r="M4" s="1283"/>
      <c r="N4" s="1283"/>
      <c r="O4" s="1283"/>
      <c r="P4" s="275"/>
      <c r="Q4" s="273"/>
      <c r="R4" s="274"/>
      <c r="S4" s="1229" t="e">
        <f>INDEX(PT_DIFFERENTIATION_NUM_CS,MATCH(C4,PT_DIFFERENTIATION_CS_ID,0))</f>
        <v>#N/A</v>
      </c>
      <c r="T4" s="225" t="s">
        <v>462</v>
      </c>
      <c r="U4" s="214"/>
      <c r="V4" s="2070"/>
      <c r="W4" s="2071"/>
      <c r="X4" s="2071"/>
      <c r="Y4" s="2071"/>
      <c r="Z4" s="2071"/>
      <c r="AA4" s="2071"/>
      <c r="AB4" s="2071"/>
      <c r="AC4" s="2072"/>
      <c r="AD4" s="2070" t="e">
        <f>INDEX(PT_DIFFERENTIATION_CS,MATCH(C4,PT_DIFFERENTIATION_CS_ID,0))</f>
        <v>#N/A</v>
      </c>
      <c r="AE4" s="2071"/>
      <c r="AF4" s="2071"/>
      <c r="AG4" s="2071"/>
      <c r="AH4" s="2071"/>
      <c r="AI4" s="2071"/>
      <c r="AJ4" s="2071"/>
      <c r="AK4" s="2071"/>
      <c r="AL4" s="2072"/>
      <c r="AM4" s="1179" t="s">
        <v>463</v>
      </c>
      <c r="AO4" s="426"/>
      <c r="AP4" s="426" t="str">
        <f t="shared" si="0"/>
        <v xml:space="preserve">Наименование системы теплоснабжения </v>
      </c>
      <c r="AQ4" s="426"/>
      <c r="AR4" s="426"/>
    </row>
    <row r="5" spans="1:44" ht="21" hidden="1" customHeight="1">
      <c r="A5" s="1281"/>
      <c r="B5" s="1281"/>
      <c r="C5" s="1281"/>
      <c r="D5" s="1281"/>
      <c r="E5" s="2077"/>
      <c r="F5" s="2077"/>
      <c r="G5" s="2077"/>
      <c r="H5" s="2076">
        <v>1</v>
      </c>
      <c r="I5" s="1281"/>
      <c r="J5" s="1281"/>
      <c r="K5" s="1281"/>
      <c r="L5" s="1282"/>
      <c r="M5" s="1283"/>
      <c r="N5" s="1283"/>
      <c r="O5" s="1283"/>
      <c r="P5" s="275"/>
      <c r="Q5" s="273"/>
      <c r="R5" s="274"/>
      <c r="S5" s="1229" t="e">
        <f>INDEX(PT_DIFFERENTIATION_NUM_IST_TE,MATCH(D5,PT_DIFFERENTIATION_IST_TE_ID,0))</f>
        <v>#N/A</v>
      </c>
      <c r="T5" s="226" t="s">
        <v>464</v>
      </c>
      <c r="U5" s="214"/>
      <c r="V5" s="2070"/>
      <c r="W5" s="2071"/>
      <c r="X5" s="2071"/>
      <c r="Y5" s="2071"/>
      <c r="Z5" s="2071"/>
      <c r="AA5" s="2071"/>
      <c r="AB5" s="2071"/>
      <c r="AC5" s="2072"/>
      <c r="AD5" s="2070" t="e">
        <f>INDEX(PT_DIFFERENTIATION_IST_TE,MATCH(D5,PT_DIFFERENTIATION_IST_TE_ID,0))</f>
        <v>#N/A</v>
      </c>
      <c r="AE5" s="2071"/>
      <c r="AF5" s="2071"/>
      <c r="AG5" s="2071"/>
      <c r="AH5" s="2071"/>
      <c r="AI5" s="2071"/>
      <c r="AJ5" s="2071"/>
      <c r="AK5" s="2071"/>
      <c r="AL5" s="2072"/>
      <c r="AM5" s="1179" t="s">
        <v>465</v>
      </c>
      <c r="AO5" s="426"/>
      <c r="AP5" s="426" t="str">
        <f t="shared" si="0"/>
        <v xml:space="preserve">Источник тепловой энергии  </v>
      </c>
      <c r="AQ5" s="426"/>
      <c r="AR5" s="426"/>
    </row>
    <row r="6" spans="1:44" ht="47.25" hidden="1" customHeight="1">
      <c r="A6" s="1281"/>
      <c r="B6" s="1281"/>
      <c r="C6" s="1281"/>
      <c r="D6" s="1281"/>
      <c r="E6" s="2077"/>
      <c r="F6" s="2077"/>
      <c r="G6" s="2077"/>
      <c r="H6" s="2077"/>
      <c r="I6" s="2078" t="e">
        <f>S5&amp;".1"</f>
        <v>#N/A</v>
      </c>
      <c r="J6" s="1281"/>
      <c r="K6" s="1281"/>
      <c r="L6" s="1282" t="s">
        <v>466</v>
      </c>
      <c r="M6" s="462"/>
      <c r="P6" s="1995">
        <v>1</v>
      </c>
      <c r="Q6" s="1226"/>
      <c r="R6" s="277"/>
      <c r="S6" s="1229" t="e">
        <f>$I6</f>
        <v>#N/A</v>
      </c>
      <c r="T6" s="200" t="s">
        <v>467</v>
      </c>
      <c r="U6" s="214"/>
      <c r="V6" s="2064"/>
      <c r="W6" s="2065"/>
      <c r="X6" s="2065"/>
      <c r="Y6" s="2065"/>
      <c r="Z6" s="2065"/>
      <c r="AA6" s="2065"/>
      <c r="AB6" s="2065"/>
      <c r="AC6" s="2066"/>
      <c r="AD6" s="2064"/>
      <c r="AE6" s="2065"/>
      <c r="AF6" s="2065"/>
      <c r="AG6" s="2065"/>
      <c r="AH6" s="2065"/>
      <c r="AI6" s="2065"/>
      <c r="AJ6" s="2065"/>
      <c r="AK6" s="2065"/>
      <c r="AL6" s="2066"/>
      <c r="AM6" s="1179" t="s">
        <v>468</v>
      </c>
      <c r="AO6" s="426"/>
      <c r="AP6" s="426" t="str">
        <f t="shared" si="0"/>
        <v>Схема подключения теплопотребляющей установки к коллектору источника тепловой энергии</v>
      </c>
      <c r="AQ6" s="426"/>
      <c r="AR6" s="426"/>
    </row>
    <row r="7" spans="1:44" ht="21" hidden="1" customHeight="1">
      <c r="A7" s="1281"/>
      <c r="B7" s="1281"/>
      <c r="C7" s="1281"/>
      <c r="D7" s="1281"/>
      <c r="E7" s="2077"/>
      <c r="F7" s="2077"/>
      <c r="G7" s="2077"/>
      <c r="H7" s="2077"/>
      <c r="I7" s="2079"/>
      <c r="J7" s="2078" t="e">
        <f>I6&amp;".1"</f>
        <v>#N/A</v>
      </c>
      <c r="K7" s="1281"/>
      <c r="L7" s="1282" t="s">
        <v>469</v>
      </c>
      <c r="M7" s="462"/>
      <c r="N7" s="1284"/>
      <c r="P7" s="1995"/>
      <c r="Q7" s="1995">
        <v>1</v>
      </c>
      <c r="R7" s="278"/>
      <c r="S7" s="1229" t="e">
        <f>$J7</f>
        <v>#N/A</v>
      </c>
      <c r="T7" s="201" t="s">
        <v>470</v>
      </c>
      <c r="U7" s="214"/>
      <c r="V7" s="2064"/>
      <c r="W7" s="2065"/>
      <c r="X7" s="2065"/>
      <c r="Y7" s="2065"/>
      <c r="Z7" s="2065"/>
      <c r="AA7" s="2065"/>
      <c r="AB7" s="2065"/>
      <c r="AC7" s="2066"/>
      <c r="AD7" s="2064"/>
      <c r="AE7" s="2065"/>
      <c r="AF7" s="2065"/>
      <c r="AG7" s="2065"/>
      <c r="AH7" s="2065"/>
      <c r="AI7" s="2065"/>
      <c r="AJ7" s="2065"/>
      <c r="AK7" s="2065"/>
      <c r="AL7" s="2066"/>
      <c r="AM7" s="1179" t="s">
        <v>471</v>
      </c>
      <c r="AO7" s="426"/>
      <c r="AP7" s="426" t="str">
        <f t="shared" si="0"/>
        <v>Группа потребителей</v>
      </c>
      <c r="AQ7" s="426"/>
      <c r="AR7" s="426"/>
    </row>
    <row r="8" spans="1:44" ht="21" hidden="1" customHeight="1">
      <c r="A8" s="1281"/>
      <c r="B8" s="1281"/>
      <c r="C8" s="1281"/>
      <c r="D8" s="1281"/>
      <c r="E8" s="2077"/>
      <c r="F8" s="2077"/>
      <c r="G8" s="2077"/>
      <c r="H8" s="2077"/>
      <c r="I8" s="2079"/>
      <c r="J8" s="2079"/>
      <c r="K8" s="2078" t="e">
        <f>J7&amp;".1"</f>
        <v>#N/A</v>
      </c>
      <c r="L8" s="1282" t="s">
        <v>472</v>
      </c>
      <c r="M8" s="462"/>
      <c r="N8" s="1284"/>
      <c r="O8" s="1284"/>
      <c r="P8" s="1995"/>
      <c r="Q8" s="1995"/>
      <c r="R8" s="278">
        <v>1</v>
      </c>
      <c r="S8" s="1229" t="e">
        <f>$K8</f>
        <v>#N/A</v>
      </c>
      <c r="T8" s="1266"/>
      <c r="U8" s="214"/>
      <c r="V8" s="664"/>
      <c r="W8" s="246"/>
      <c r="X8" s="664"/>
      <c r="Y8" s="1178"/>
      <c r="Z8" s="2080"/>
      <c r="AA8" s="1885" t="s">
        <v>59</v>
      </c>
      <c r="AB8" s="2080"/>
      <c r="AC8" s="1885" t="s">
        <v>59</v>
      </c>
      <c r="AD8" s="664"/>
      <c r="AE8" s="246"/>
      <c r="AF8" s="664"/>
      <c r="AG8" s="1178"/>
      <c r="AH8" s="2080"/>
      <c r="AI8" s="1885" t="s">
        <v>59</v>
      </c>
      <c r="AJ8" s="2080"/>
      <c r="AK8" s="1885" t="s">
        <v>59</v>
      </c>
      <c r="AL8" s="246"/>
      <c r="AM8" s="2098" t="s">
        <v>473</v>
      </c>
      <c r="AN8" s="437" t="e">
        <f ca="1">STRCHECKDATE(V9:AL9)</f>
        <v>#NAME?</v>
      </c>
      <c r="AO8" s="426"/>
      <c r="AP8" s="426" t="str">
        <f t="shared" si="0"/>
        <v/>
      </c>
      <c r="AQ8" s="426"/>
      <c r="AR8" s="426"/>
    </row>
    <row r="9" spans="1:44" ht="0.75" hidden="1" customHeight="1">
      <c r="A9" s="1281"/>
      <c r="B9" s="1281"/>
      <c r="C9" s="1281"/>
      <c r="D9" s="1281"/>
      <c r="E9" s="2077"/>
      <c r="F9" s="2077"/>
      <c r="G9" s="2077"/>
      <c r="H9" s="2077"/>
      <c r="I9" s="2079"/>
      <c r="J9" s="2079"/>
      <c r="K9" s="2078"/>
      <c r="L9" s="1282"/>
      <c r="M9" s="462"/>
      <c r="N9" s="1284"/>
      <c r="O9" s="1284"/>
      <c r="P9" s="1995"/>
      <c r="Q9" s="1995"/>
      <c r="R9" s="278"/>
      <c r="S9" s="1227"/>
      <c r="T9" s="214"/>
      <c r="U9" s="214"/>
      <c r="V9" s="246"/>
      <c r="W9" s="246"/>
      <c r="X9" s="246"/>
      <c r="Y9" s="250" t="str">
        <f>Z8&amp;"-"&amp;AB8</f>
        <v>-</v>
      </c>
      <c r="Z9" s="2081"/>
      <c r="AA9" s="1885"/>
      <c r="AB9" s="2081"/>
      <c r="AC9" s="1885"/>
      <c r="AD9" s="246"/>
      <c r="AE9" s="246"/>
      <c r="AF9" s="246"/>
      <c r="AG9" s="250" t="str">
        <f>AH8&amp;"-"&amp;AJ8</f>
        <v>-</v>
      </c>
      <c r="AH9" s="2081"/>
      <c r="AI9" s="1885"/>
      <c r="AJ9" s="2081"/>
      <c r="AK9" s="1885"/>
      <c r="AL9" s="246"/>
      <c r="AM9" s="2099"/>
      <c r="AO9" s="426"/>
      <c r="AP9" s="426" t="str">
        <f t="shared" si="0"/>
        <v/>
      </c>
      <c r="AQ9" s="426"/>
      <c r="AR9" s="426"/>
    </row>
    <row r="10" spans="1:44" ht="15" hidden="1" customHeight="1">
      <c r="A10" s="1281"/>
      <c r="B10" s="1281"/>
      <c r="C10" s="1281"/>
      <c r="D10" s="1281"/>
      <c r="E10" s="2077"/>
      <c r="F10" s="2077"/>
      <c r="G10" s="2077"/>
      <c r="H10" s="2077"/>
      <c r="I10" s="2079"/>
      <c r="J10" s="2078"/>
      <c r="K10" s="1281"/>
      <c r="L10" s="1282"/>
      <c r="M10" s="462"/>
      <c r="N10" s="1284"/>
      <c r="P10" s="1995"/>
      <c r="Q10" s="1995"/>
      <c r="R10" s="277"/>
      <c r="S10" s="1200"/>
      <c r="T10" s="203" t="s">
        <v>474</v>
      </c>
      <c r="U10" s="291"/>
      <c r="V10" s="291"/>
      <c r="W10" s="291"/>
      <c r="X10" s="291"/>
      <c r="Y10" s="291"/>
      <c r="Z10" s="291"/>
      <c r="AA10" s="291"/>
      <c r="AB10" s="291"/>
      <c r="AC10" s="291"/>
      <c r="AD10" s="291"/>
      <c r="AE10" s="291"/>
      <c r="AF10" s="291"/>
      <c r="AG10" s="291"/>
      <c r="AH10" s="291"/>
      <c r="AI10" s="291"/>
      <c r="AJ10" s="291"/>
      <c r="AK10" s="291"/>
      <c r="AL10" s="245"/>
      <c r="AM10" s="2100"/>
      <c r="AO10" s="426"/>
      <c r="AP10" s="426" t="str">
        <f t="shared" si="0"/>
        <v>Добавить вид теплоносителя (параметры теплоносителя)</v>
      </c>
      <c r="AQ10" s="426"/>
      <c r="AR10" s="426"/>
    </row>
    <row r="11" spans="1:44" ht="15" hidden="1" customHeight="1">
      <c r="A11" s="1281"/>
      <c r="B11" s="1281"/>
      <c r="C11" s="1281"/>
      <c r="D11" s="1281"/>
      <c r="E11" s="2077"/>
      <c r="F11" s="2077"/>
      <c r="G11" s="2077"/>
      <c r="H11" s="2077"/>
      <c r="I11" s="2078"/>
      <c r="J11" s="1281"/>
      <c r="K11" s="1281"/>
      <c r="L11" s="1282"/>
      <c r="M11" s="462"/>
      <c r="P11" s="1995"/>
      <c r="Q11" s="1226"/>
      <c r="R11" s="277"/>
      <c r="S11" s="1200"/>
      <c r="T11" s="202" t="s">
        <v>475</v>
      </c>
      <c r="U11" s="291"/>
      <c r="V11" s="291"/>
      <c r="W11" s="291"/>
      <c r="X11" s="291"/>
      <c r="Y11" s="291"/>
      <c r="Z11" s="291"/>
      <c r="AA11" s="291"/>
      <c r="AB11" s="291"/>
      <c r="AC11" s="290"/>
      <c r="AD11" s="291"/>
      <c r="AE11" s="291"/>
      <c r="AF11" s="291"/>
      <c r="AG11" s="291"/>
      <c r="AH11" s="291"/>
      <c r="AI11" s="291"/>
      <c r="AJ11" s="291"/>
      <c r="AK11" s="290"/>
      <c r="AL11" s="291"/>
      <c r="AM11" s="217"/>
      <c r="AO11" s="426"/>
      <c r="AP11" s="426" t="str">
        <f t="shared" si="0"/>
        <v>Добавить группу потребителей</v>
      </c>
      <c r="AQ11" s="426"/>
      <c r="AR11" s="426"/>
    </row>
    <row r="12" spans="1:44" ht="14.25" hidden="1" customHeight="1">
      <c r="A12" s="1281"/>
      <c r="B12" s="1281"/>
      <c r="C12" s="1281"/>
      <c r="D12" s="1281"/>
      <c r="E12" s="2077"/>
      <c r="F12" s="2077"/>
      <c r="G12" s="2077"/>
      <c r="H12" s="2076"/>
      <c r="I12" s="1281"/>
      <c r="J12" s="1281"/>
      <c r="K12" s="1281"/>
      <c r="L12" s="1282"/>
      <c r="M12" s="1283"/>
      <c r="N12" s="1283"/>
      <c r="O12" s="462"/>
      <c r="P12" s="281"/>
      <c r="Q12" s="299"/>
      <c r="R12" s="276"/>
      <c r="S12" s="1200"/>
      <c r="T12" s="288" t="s">
        <v>476</v>
      </c>
      <c r="U12" s="291"/>
      <c r="V12" s="291"/>
      <c r="W12" s="291"/>
      <c r="X12" s="291"/>
      <c r="Y12" s="291"/>
      <c r="Z12" s="291"/>
      <c r="AA12" s="291"/>
      <c r="AB12" s="291"/>
      <c r="AC12" s="290"/>
      <c r="AD12" s="291"/>
      <c r="AE12" s="291"/>
      <c r="AF12" s="291"/>
      <c r="AG12" s="291"/>
      <c r="AH12" s="291"/>
      <c r="AI12" s="291"/>
      <c r="AJ12" s="291"/>
      <c r="AK12" s="290"/>
      <c r="AL12" s="291"/>
      <c r="AM12" s="217"/>
      <c r="AO12" s="426"/>
      <c r="AP12" s="426" t="str">
        <f t="shared" si="0"/>
        <v>Добавить схему подключения</v>
      </c>
      <c r="AQ12" s="426"/>
      <c r="AR12" s="426"/>
    </row>
    <row r="13" spans="1:44" s="1559" customFormat="1" ht="0.75" hidden="1" customHeight="1">
      <c r="A13" s="1234"/>
      <c r="B13" s="1234"/>
      <c r="C13" s="1234"/>
      <c r="D13" s="1234"/>
      <c r="E13" s="2077"/>
      <c r="F13" s="2077"/>
      <c r="G13" s="2076"/>
      <c r="H13" s="1234"/>
      <c r="I13" s="1234"/>
      <c r="J13" s="1234"/>
      <c r="K13" s="1234"/>
      <c r="L13" s="1258"/>
      <c r="M13" s="1235"/>
      <c r="N13" s="1235"/>
      <c r="P13" s="1236"/>
      <c r="Q13" s="1237"/>
      <c r="R13" s="1236"/>
      <c r="S13" s="1238"/>
      <c r="T13" s="1239" t="s">
        <v>433</v>
      </c>
      <c r="U13" s="1240"/>
      <c r="V13" s="1240"/>
      <c r="W13" s="1240"/>
      <c r="X13" s="1240"/>
      <c r="Y13" s="1240"/>
      <c r="Z13" s="1240"/>
      <c r="AA13" s="1240"/>
      <c r="AB13" s="1240"/>
      <c r="AC13" s="1240"/>
      <c r="AD13" s="1240"/>
      <c r="AE13" s="1240"/>
      <c r="AF13" s="1240"/>
      <c r="AG13" s="1240"/>
      <c r="AH13" s="1240"/>
      <c r="AI13" s="1240"/>
      <c r="AJ13" s="1240"/>
      <c r="AK13" s="1240"/>
      <c r="AL13" s="1240"/>
      <c r="AM13" s="1240"/>
      <c r="AO13" s="702"/>
      <c r="AP13" s="702" t="str">
        <f t="shared" si="0"/>
        <v>Добавить источник для дифференциации</v>
      </c>
      <c r="AQ13" s="702"/>
      <c r="AR13" s="702"/>
    </row>
    <row r="14" spans="1:44" s="1559" customFormat="1" ht="0.75" hidden="1" customHeight="1">
      <c r="A14" s="1234"/>
      <c r="B14" s="1234"/>
      <c r="C14" s="1234"/>
      <c r="D14" s="1234"/>
      <c r="E14" s="2077"/>
      <c r="F14" s="2076"/>
      <c r="G14" s="1234"/>
      <c r="H14" s="1234"/>
      <c r="I14" s="1234"/>
      <c r="J14" s="1234"/>
      <c r="K14" s="1234"/>
      <c r="L14" s="1258"/>
      <c r="M14" s="1241"/>
      <c r="N14" s="1241"/>
      <c r="P14" s="1236"/>
      <c r="Q14" s="1237"/>
      <c r="R14" s="1236"/>
      <c r="S14" s="1242"/>
      <c r="T14" s="1243" t="s">
        <v>434</v>
      </c>
      <c r="U14" s="1244"/>
      <c r="V14" s="1244"/>
      <c r="W14" s="1244"/>
      <c r="X14" s="1244"/>
      <c r="Y14" s="1244"/>
      <c r="Z14" s="1244"/>
      <c r="AA14" s="1244"/>
      <c r="AB14" s="1244"/>
      <c r="AC14" s="1244"/>
      <c r="AD14" s="1244"/>
      <c r="AE14" s="1244"/>
      <c r="AF14" s="1244"/>
      <c r="AG14" s="1244"/>
      <c r="AH14" s="1244"/>
      <c r="AI14" s="1244"/>
      <c r="AJ14" s="1244"/>
      <c r="AK14" s="1244"/>
      <c r="AL14" s="1244"/>
      <c r="AM14" s="1244"/>
      <c r="AO14" s="702"/>
      <c r="AP14" s="702" t="str">
        <f t="shared" si="0"/>
        <v>Добавить централизованную систему для дифференциации</v>
      </c>
      <c r="AQ14" s="702"/>
      <c r="AR14" s="702"/>
    </row>
    <row r="15" spans="1:44" s="1559" customFormat="1" ht="0.75" hidden="1" customHeight="1">
      <c r="A15" s="1234"/>
      <c r="B15" s="1234"/>
      <c r="C15" s="1234"/>
      <c r="D15" s="1234"/>
      <c r="E15" s="2076"/>
      <c r="F15" s="1234"/>
      <c r="G15" s="1234"/>
      <c r="H15" s="1234"/>
      <c r="I15" s="1234"/>
      <c r="J15" s="1234"/>
      <c r="K15" s="1234"/>
      <c r="L15" s="1258"/>
      <c r="M15" s="1241"/>
      <c r="N15" s="1241"/>
      <c r="P15" s="1236"/>
      <c r="Q15" s="1237"/>
      <c r="R15" s="1236"/>
      <c r="S15" s="1242"/>
      <c r="T15" s="1245" t="s">
        <v>435</v>
      </c>
      <c r="U15" s="1244"/>
      <c r="V15" s="1244"/>
      <c r="W15" s="1244"/>
      <c r="X15" s="1244"/>
      <c r="Y15" s="1244"/>
      <c r="Z15" s="1244"/>
      <c r="AA15" s="1244"/>
      <c r="AB15" s="1244"/>
      <c r="AC15" s="1244"/>
      <c r="AD15" s="1244"/>
      <c r="AE15" s="1244"/>
      <c r="AF15" s="1244"/>
      <c r="AG15" s="1244"/>
      <c r="AH15" s="1244"/>
      <c r="AI15" s="1244"/>
      <c r="AJ15" s="1244"/>
      <c r="AK15" s="1244"/>
      <c r="AL15" s="1244"/>
      <c r="AM15" s="1244"/>
      <c r="AO15" s="702"/>
      <c r="AP15" s="702" t="str">
        <f t="shared" si="0"/>
        <v>Добавить территорию для дифференциации</v>
      </c>
      <c r="AQ15" s="702"/>
      <c r="AR15" s="702"/>
    </row>
    <row r="16" spans="1:44" ht="14.25" hidden="1" customHeight="1">
      <c r="AC16" s="249"/>
      <c r="AK16" s="249"/>
    </row>
    <row r="17" spans="1:44" ht="14.25" hidden="1" customHeight="1">
      <c r="P17" s="1231"/>
      <c r="AD17" s="1278"/>
      <c r="AE17" s="1278"/>
      <c r="AF17" s="1278"/>
      <c r="AG17" s="1279"/>
      <c r="AH17" s="2074"/>
      <c r="AI17" s="2073" t="s">
        <v>59</v>
      </c>
      <c r="AJ17" s="2074"/>
      <c r="AK17" s="2073" t="s">
        <v>59</v>
      </c>
    </row>
    <row r="18" spans="1:44" ht="14.25" hidden="1" customHeight="1">
      <c r="P18" s="1231"/>
      <c r="AD18" s="1278"/>
      <c r="AE18" s="1278"/>
      <c r="AF18" s="1278"/>
      <c r="AG18" s="250" t="str">
        <f>AH17&amp;"-"&amp;AJ17</f>
        <v>-</v>
      </c>
      <c r="AH18" s="2073"/>
      <c r="AI18" s="2073"/>
      <c r="AJ18" s="2073"/>
      <c r="AK18" s="2073"/>
    </row>
    <row r="19" spans="1:44" ht="14.25" hidden="1" customHeight="1">
      <c r="P19" s="1231"/>
      <c r="AK19" s="249"/>
    </row>
    <row r="20" spans="1:44" s="1284" customFormat="1" ht="22.5" hidden="1" customHeight="1">
      <c r="L20" s="1248"/>
      <c r="M20" s="1280"/>
      <c r="N20" s="1280"/>
      <c r="O20" s="1285" t="s">
        <v>477</v>
      </c>
      <c r="P20" s="1280"/>
      <c r="Q20" s="1289"/>
      <c r="R20" s="1289"/>
      <c r="S20" s="645"/>
      <c r="Z20" s="1285"/>
      <c r="AB20" s="1285"/>
      <c r="AH20" s="1285"/>
      <c r="AJ20" s="1285"/>
      <c r="AN20" s="437"/>
      <c r="AO20" s="437"/>
      <c r="AP20" s="437"/>
      <c r="AQ20" s="437"/>
      <c r="AR20" s="437"/>
    </row>
    <row r="21" spans="1:44" s="1284" customFormat="1" ht="14.25" hidden="1" customHeight="1">
      <c r="L21" s="1248"/>
      <c r="M21" s="1280"/>
      <c r="N21" s="1280"/>
      <c r="O21" s="1280"/>
      <c r="P21" s="1280"/>
      <c r="Q21" s="1289"/>
      <c r="R21" s="1289"/>
      <c r="S21" s="645"/>
      <c r="AN21" s="437"/>
      <c r="AO21" s="437"/>
      <c r="AP21" s="437"/>
      <c r="AQ21" s="437"/>
      <c r="AR21" s="437"/>
    </row>
    <row r="22" spans="1:44" s="1284" customFormat="1" ht="14.25" hidden="1" customHeight="1">
      <c r="L22" s="1248"/>
      <c r="M22" s="1280"/>
      <c r="N22" s="1280"/>
      <c r="O22" s="1282" t="s">
        <v>478</v>
      </c>
      <c r="P22" s="1280"/>
      <c r="Q22" s="1289"/>
      <c r="R22" s="1289"/>
      <c r="S22" s="645"/>
      <c r="T22" s="1062" t="s">
        <v>479</v>
      </c>
      <c r="AA22" s="104" t="s">
        <v>480</v>
      </c>
      <c r="AC22" s="104" t="s">
        <v>481</v>
      </c>
      <c r="AD22" s="1062" t="s">
        <v>479</v>
      </c>
      <c r="AI22" s="104" t="s">
        <v>482</v>
      </c>
      <c r="AK22" s="104" t="s">
        <v>481</v>
      </c>
      <c r="AN22" s="437"/>
      <c r="AO22" s="437"/>
      <c r="AP22" s="437"/>
      <c r="AQ22" s="437"/>
      <c r="AR22" s="437"/>
    </row>
    <row r="23" spans="1:44" ht="14.25" hidden="1" customHeight="1">
      <c r="O23" s="1282"/>
      <c r="P23" s="1231"/>
    </row>
    <row r="24" spans="1:44" ht="14.25" hidden="1" customHeight="1">
      <c r="O24" s="1282"/>
      <c r="P24" s="1231"/>
    </row>
    <row r="25" spans="1:44" ht="14.25" customHeight="1">
      <c r="Q25" s="300"/>
      <c r="R25" s="300"/>
      <c r="S25" s="1197"/>
      <c r="T25" s="286"/>
      <c r="U25" s="286"/>
      <c r="V25" s="435"/>
      <c r="W25" s="435"/>
      <c r="X25" s="435"/>
      <c r="Y25" s="435"/>
      <c r="Z25" s="435"/>
      <c r="AA25" s="435"/>
      <c r="AB25" s="435"/>
      <c r="AC25" s="435"/>
      <c r="AD25" s="435"/>
      <c r="AE25" s="435"/>
      <c r="AF25" s="435"/>
      <c r="AG25" s="435"/>
      <c r="AH25" s="435"/>
      <c r="AI25" s="435"/>
      <c r="AJ25" s="435"/>
      <c r="AK25" s="435"/>
    </row>
    <row r="26" spans="1:44" ht="64.5" customHeight="1">
      <c r="Q26" s="300"/>
      <c r="R26" s="300"/>
      <c r="S26" s="2101"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101"/>
      <c r="U26" s="2101"/>
      <c r="V26" s="2101"/>
      <c r="W26" s="2101"/>
      <c r="X26" s="2101"/>
      <c r="Y26" s="2101"/>
      <c r="Z26" s="2101"/>
      <c r="AA26" s="2101"/>
      <c r="AB26" s="2101"/>
      <c r="AC26" s="2101"/>
      <c r="AD26" s="2101"/>
      <c r="AE26" s="2101"/>
      <c r="AF26" s="2101"/>
      <c r="AG26" s="2101"/>
      <c r="AH26" s="2101"/>
      <c r="AI26" s="2101"/>
      <c r="AJ26" s="2101"/>
      <c r="AK26" s="1154"/>
    </row>
    <row r="27" spans="1:44" ht="14.25" customHeight="1">
      <c r="Q27" s="300"/>
      <c r="R27" s="300"/>
      <c r="S27" s="1961" t="str">
        <f>IF(org=0,"Не определено",org)</f>
        <v>АО СЗ "КМАпроектжилстрой"</v>
      </c>
      <c r="T27" s="1961"/>
      <c r="U27" s="1961"/>
      <c r="V27" s="1961"/>
      <c r="W27" s="1961"/>
      <c r="X27" s="1961"/>
      <c r="Y27" s="1961"/>
      <c r="Z27" s="1961"/>
      <c r="AA27" s="1961"/>
      <c r="AB27" s="1961"/>
      <c r="AC27" s="1961"/>
      <c r="AD27" s="1961"/>
      <c r="AE27" s="1961"/>
      <c r="AF27" s="1961"/>
      <c r="AG27" s="1961"/>
      <c r="AH27" s="1961"/>
      <c r="AI27" s="1961"/>
      <c r="AJ27" s="1961"/>
      <c r="AK27" s="1154"/>
    </row>
    <row r="28" spans="1:44" ht="14.25" hidden="1" customHeight="1">
      <c r="Q28" s="300"/>
      <c r="R28" s="300"/>
      <c r="S28" s="1197"/>
      <c r="T28" s="286"/>
      <c r="U28" s="286"/>
      <c r="V28" s="242"/>
      <c r="W28" s="242"/>
      <c r="X28" s="242"/>
      <c r="Y28" s="242"/>
      <c r="Z28" s="242"/>
      <c r="AA28" s="242"/>
      <c r="AB28" s="242"/>
      <c r="AC28" s="242"/>
      <c r="AD28" s="242"/>
      <c r="AE28" s="242"/>
      <c r="AF28" s="242"/>
      <c r="AG28" s="242"/>
      <c r="AH28" s="242"/>
      <c r="AI28" s="242"/>
      <c r="AJ28" s="242"/>
      <c r="AK28" s="242"/>
      <c r="AL28" s="435"/>
    </row>
    <row r="29" spans="1:44" s="1773" customFormat="1" ht="25.5" hidden="1" customHeight="1">
      <c r="A29" s="1286"/>
      <c r="B29" s="1286"/>
      <c r="C29" s="1286"/>
      <c r="D29" s="1286"/>
      <c r="E29" s="1286"/>
      <c r="F29" s="1286"/>
      <c r="G29" s="1286"/>
      <c r="H29" s="1286"/>
      <c r="I29" s="1286"/>
      <c r="J29" s="1286"/>
      <c r="K29" s="1286"/>
      <c r="L29" s="1287"/>
      <c r="M29" s="1286"/>
      <c r="N29" s="1286"/>
      <c r="O29" s="1286"/>
      <c r="S29" s="2067" t="s">
        <v>40</v>
      </c>
      <c r="T29" s="2067"/>
      <c r="U29" s="1290"/>
      <c r="V29" s="2069" t="str">
        <f>IF(TITLE_NAME_OR_PR_CHANGE="",IF(TITLE_NAME_OR_PR="","",TITLE_NAME_OR_PR),TITLE_NAME_OR_PR_CHANGE)</f>
        <v/>
      </c>
      <c r="W29" s="2069"/>
      <c r="X29" s="2069"/>
      <c r="Y29" s="2069"/>
      <c r="Z29" s="2069"/>
      <c r="AA29" s="2069"/>
      <c r="AB29" s="2069"/>
      <c r="AC29" s="248"/>
      <c r="AD29" s="2069" t="str">
        <f>IF(TITLE_NAME_OR_PR_CHANGE="",IF(TITLE_NAME_OR_PR="","",TITLE_NAME_OR_PR),TITLE_NAME_OR_PR_CHANGE)</f>
        <v/>
      </c>
      <c r="AE29" s="2069"/>
      <c r="AF29" s="2069"/>
      <c r="AG29" s="2069"/>
      <c r="AH29" s="2069"/>
      <c r="AI29" s="2069"/>
      <c r="AJ29" s="2069"/>
      <c r="AK29" s="248"/>
      <c r="AL29" s="248"/>
      <c r="AM29" s="196"/>
      <c r="AN29" s="292"/>
      <c r="AO29" s="292"/>
      <c r="AP29" s="292"/>
      <c r="AQ29" s="292"/>
      <c r="AR29" s="292"/>
    </row>
    <row r="30" spans="1:44" s="1773" customFormat="1" ht="18.75" hidden="1" customHeight="1">
      <c r="A30" s="1286"/>
      <c r="B30" s="1286"/>
      <c r="C30" s="1286"/>
      <c r="D30" s="1286"/>
      <c r="E30" s="1286"/>
      <c r="F30" s="1286"/>
      <c r="G30" s="1286"/>
      <c r="H30" s="1286"/>
      <c r="I30" s="1286"/>
      <c r="J30" s="1286"/>
      <c r="K30" s="1286"/>
      <c r="L30" s="1287"/>
      <c r="M30" s="1286"/>
      <c r="N30" s="1286"/>
      <c r="O30" s="1286"/>
      <c r="S30" s="2067" t="s">
        <v>483</v>
      </c>
      <c r="T30" s="2067"/>
      <c r="U30" s="1290"/>
      <c r="V30" s="2068" t="str">
        <f>IF(TITLE_DATE_CHANGE_PERIOD="",IF(TITLE_DATE_PR="","",TITLE_DATE_PR),TITLE_DATE_CHANGE_PERIOD)</f>
        <v/>
      </c>
      <c r="W30" s="2068"/>
      <c r="X30" s="2068"/>
      <c r="Y30" s="2068"/>
      <c r="Z30" s="2068"/>
      <c r="AA30" s="2068"/>
      <c r="AB30" s="2068"/>
      <c r="AC30" s="248"/>
      <c r="AD30" s="2068" t="str">
        <f>IF(TITLE_DATE_CHANGE_PERIOD="",IF(TITLE_DATE_PR="","",TITLE_DATE_PR),TITLE_DATE_CHANGE_PERIOD)</f>
        <v/>
      </c>
      <c r="AE30" s="2068"/>
      <c r="AF30" s="2068"/>
      <c r="AG30" s="2068"/>
      <c r="AH30" s="2068"/>
      <c r="AI30" s="2068"/>
      <c r="AJ30" s="2068"/>
      <c r="AK30" s="248"/>
      <c r="AL30" s="248"/>
      <c r="AM30" s="196"/>
      <c r="AN30" s="292"/>
      <c r="AO30" s="292"/>
      <c r="AP30" s="292"/>
      <c r="AQ30" s="292"/>
      <c r="AR30" s="292"/>
    </row>
    <row r="31" spans="1:44" s="1773" customFormat="1" ht="18.75" hidden="1" customHeight="1">
      <c r="A31" s="1286"/>
      <c r="B31" s="1286"/>
      <c r="C31" s="1286"/>
      <c r="D31" s="1286"/>
      <c r="E31" s="1286"/>
      <c r="F31" s="1286"/>
      <c r="G31" s="1286"/>
      <c r="H31" s="1286"/>
      <c r="I31" s="1286"/>
      <c r="J31" s="1286"/>
      <c r="K31" s="1286"/>
      <c r="L31" s="1287"/>
      <c r="M31" s="1286"/>
      <c r="N31" s="1286"/>
      <c r="O31" s="1286"/>
      <c r="S31" s="2067" t="s">
        <v>484</v>
      </c>
      <c r="T31" s="2067"/>
      <c r="U31" s="1290"/>
      <c r="V31" s="2069" t="str">
        <f>IF(TITLE_NUMBER_PR_CHANGE="",IF(TITLE_NUMBER_PR="","",TITLE_NUMBER_PR),TITLE_NUMBER_PR_CHANGE)</f>
        <v/>
      </c>
      <c r="W31" s="2069"/>
      <c r="X31" s="2069"/>
      <c r="Y31" s="2069"/>
      <c r="Z31" s="2069"/>
      <c r="AA31" s="2069"/>
      <c r="AB31" s="2069"/>
      <c r="AC31" s="248"/>
      <c r="AD31" s="2069" t="str">
        <f>IF(TITLE_NUMBER_PR_CHANGE="",IF(TITLE_NUMBER_PR="","",TITLE_NUMBER_PR),TITLE_NUMBER_PR_CHANGE)</f>
        <v/>
      </c>
      <c r="AE31" s="2069"/>
      <c r="AF31" s="2069"/>
      <c r="AG31" s="2069"/>
      <c r="AH31" s="2069"/>
      <c r="AI31" s="2069"/>
      <c r="AJ31" s="2069"/>
      <c r="AK31" s="248"/>
      <c r="AL31" s="248"/>
      <c r="AM31" s="196"/>
      <c r="AN31" s="292"/>
      <c r="AO31" s="292"/>
      <c r="AP31" s="292"/>
      <c r="AQ31" s="292"/>
      <c r="AR31" s="292"/>
    </row>
    <row r="32" spans="1:44" s="1773" customFormat="1" ht="18.75" hidden="1" customHeight="1">
      <c r="A32" s="1286"/>
      <c r="B32" s="1286"/>
      <c r="C32" s="1286"/>
      <c r="D32" s="1286"/>
      <c r="E32" s="1286"/>
      <c r="F32" s="1286"/>
      <c r="G32" s="1286"/>
      <c r="H32" s="1286"/>
      <c r="I32" s="1286"/>
      <c r="J32" s="1286"/>
      <c r="K32" s="1286"/>
      <c r="L32" s="1287"/>
      <c r="M32" s="1286"/>
      <c r="N32" s="1286"/>
      <c r="O32" s="1286"/>
      <c r="S32" s="2067" t="s">
        <v>41</v>
      </c>
      <c r="T32" s="2067"/>
      <c r="U32" s="1290"/>
      <c r="V32" s="2069" t="str">
        <f>IF(TITLE_IST_PUB_CHANGE="",IF(TITLE_IST_PUB="","",TITLE_IST_PUB),TITLE_IST_PUB_CHANGE)</f>
        <v/>
      </c>
      <c r="W32" s="2069"/>
      <c r="X32" s="2069"/>
      <c r="Y32" s="2069"/>
      <c r="Z32" s="2069"/>
      <c r="AA32" s="2069"/>
      <c r="AB32" s="2069"/>
      <c r="AC32" s="248"/>
      <c r="AD32" s="2069" t="str">
        <f>IF(TITLE_IST_PUB_CHANGE="",IF(TITLE_IST_PUB="","",TITLE_IST_PUB),TITLE_IST_PUB_CHANGE)</f>
        <v/>
      </c>
      <c r="AE32" s="2069"/>
      <c r="AF32" s="2069"/>
      <c r="AG32" s="2069"/>
      <c r="AH32" s="2069"/>
      <c r="AI32" s="2069"/>
      <c r="AJ32" s="2069"/>
      <c r="AK32" s="248"/>
      <c r="AL32" s="248"/>
      <c r="AM32" s="196"/>
      <c r="AN32" s="292"/>
      <c r="AO32" s="292"/>
      <c r="AP32" s="292"/>
      <c r="AQ32" s="292"/>
      <c r="AR32" s="292"/>
    </row>
    <row r="33" spans="1:44" ht="14.25" hidden="1" customHeight="1">
      <c r="P33" s="1247"/>
      <c r="Q33" s="300"/>
      <c r="R33" s="300"/>
      <c r="S33" s="1197"/>
      <c r="T33" s="286"/>
      <c r="U33" s="286"/>
      <c r="V33" s="242"/>
      <c r="W33" s="242"/>
      <c r="X33" s="242"/>
      <c r="Y33" s="242"/>
      <c r="Z33" s="242"/>
      <c r="AA33" s="242"/>
      <c r="AB33" s="242"/>
      <c r="AC33" s="242"/>
      <c r="AD33" s="242"/>
      <c r="AE33" s="242"/>
      <c r="AF33" s="242"/>
      <c r="AG33" s="242"/>
      <c r="AH33" s="242"/>
      <c r="AI33" s="242"/>
      <c r="AJ33" s="242"/>
      <c r="AK33" s="242"/>
      <c r="AL33" s="435"/>
    </row>
    <row r="34" spans="1:44" s="1773" customFormat="1" ht="18.75" hidden="1" customHeight="1">
      <c r="A34" s="1286"/>
      <c r="B34" s="1286"/>
      <c r="C34" s="1286"/>
      <c r="D34" s="1286"/>
      <c r="E34" s="1286"/>
      <c r="F34" s="1286"/>
      <c r="G34" s="1286"/>
      <c r="H34" s="1286"/>
      <c r="I34" s="1286"/>
      <c r="J34" s="1286"/>
      <c r="K34" s="1286"/>
      <c r="L34" s="1287"/>
      <c r="M34" s="1286"/>
      <c r="N34" s="1286"/>
      <c r="O34" s="1286"/>
      <c r="S34" s="2067" t="s">
        <v>485</v>
      </c>
      <c r="T34" s="2067"/>
      <c r="U34" s="1290"/>
      <c r="V34" s="2068" t="str">
        <f>IF(TITLE_DATE_CHANGE_PERIOD="",IF(TITLE_DATE_PR="","",TITLE_DATE_PR),TITLE_DATE_CHANGE_PERIOD)</f>
        <v/>
      </c>
      <c r="W34" s="2068"/>
      <c r="X34" s="2068"/>
      <c r="Y34" s="2068"/>
      <c r="Z34" s="2068"/>
      <c r="AA34" s="2068"/>
      <c r="AB34" s="2068"/>
      <c r="AC34" s="248"/>
      <c r="AD34" s="2068" t="str">
        <f>IF(TITLE_DATE_CHANGE_PERIOD="",IF(TITLE_DATE_PR="","",TITLE_DATE_PR),TITLE_DATE_CHANGE_PERIOD)</f>
        <v/>
      </c>
      <c r="AE34" s="2068"/>
      <c r="AF34" s="2068"/>
      <c r="AG34" s="2068"/>
      <c r="AH34" s="2068"/>
      <c r="AI34" s="2068"/>
      <c r="AJ34" s="2068"/>
      <c r="AK34" s="248"/>
      <c r="AL34" s="248"/>
      <c r="AM34" s="196"/>
      <c r="AN34" s="292"/>
      <c r="AO34" s="292"/>
      <c r="AP34" s="292"/>
      <c r="AQ34" s="292"/>
      <c r="AR34" s="292"/>
    </row>
    <row r="35" spans="1:44" s="1773" customFormat="1" ht="18.75" hidden="1" customHeight="1">
      <c r="A35" s="1286"/>
      <c r="B35" s="1286"/>
      <c r="C35" s="1286"/>
      <c r="D35" s="1286"/>
      <c r="E35" s="1286"/>
      <c r="F35" s="1286"/>
      <c r="G35" s="1286"/>
      <c r="H35" s="1286"/>
      <c r="I35" s="1286"/>
      <c r="J35" s="1286"/>
      <c r="K35" s="1286"/>
      <c r="L35" s="1287"/>
      <c r="M35" s="1286"/>
      <c r="N35" s="1286"/>
      <c r="O35" s="1286"/>
      <c r="S35" s="2067" t="s">
        <v>486</v>
      </c>
      <c r="T35" s="2067"/>
      <c r="U35" s="1290"/>
      <c r="V35" s="2069" t="str">
        <f>IF(TITLE_NUMBER_PR_CHANGE="",IF(TITLE_NUMBER_PR="","",TITLE_NUMBER_PR),TITLE_NUMBER_PR_CHANGE)</f>
        <v/>
      </c>
      <c r="W35" s="2069"/>
      <c r="X35" s="2069"/>
      <c r="Y35" s="2069"/>
      <c r="Z35" s="2069"/>
      <c r="AA35" s="2069"/>
      <c r="AB35" s="2069"/>
      <c r="AC35" s="248"/>
      <c r="AD35" s="2069" t="str">
        <f>IF(TITLE_NUMBER_PR_CHANGE="",IF(TITLE_NUMBER_PR="","",TITLE_NUMBER_PR),TITLE_NUMBER_PR_CHANGE)</f>
        <v/>
      </c>
      <c r="AE35" s="2069"/>
      <c r="AF35" s="2069"/>
      <c r="AG35" s="2069"/>
      <c r="AH35" s="2069"/>
      <c r="AI35" s="2069"/>
      <c r="AJ35" s="2069"/>
      <c r="AK35" s="248"/>
      <c r="AL35" s="248"/>
      <c r="AM35" s="196"/>
      <c r="AN35" s="292"/>
      <c r="AO35" s="292"/>
      <c r="AP35" s="292"/>
      <c r="AQ35" s="292"/>
      <c r="AR35" s="292"/>
    </row>
    <row r="36" spans="1:44" s="1773" customFormat="1" ht="0" hidden="1" customHeight="1">
      <c r="A36" s="1286"/>
      <c r="B36" s="1286"/>
      <c r="C36" s="1286"/>
      <c r="D36" s="1286"/>
      <c r="E36" s="1286"/>
      <c r="F36" s="1286"/>
      <c r="G36" s="1286"/>
      <c r="H36" s="1286"/>
      <c r="I36" s="1286"/>
      <c r="J36" s="1286"/>
      <c r="K36" s="1286"/>
      <c r="L36" s="1287"/>
      <c r="M36" s="1286"/>
      <c r="N36" s="1286"/>
      <c r="O36" s="1286"/>
      <c r="S36" s="244"/>
      <c r="T36" s="244"/>
      <c r="U36" s="1126"/>
      <c r="V36" s="248"/>
      <c r="W36" s="248"/>
      <c r="X36" s="248"/>
      <c r="Y36" s="248"/>
      <c r="Z36" s="248"/>
      <c r="AA36" s="248"/>
      <c r="AB36" s="248"/>
      <c r="AC36" s="194" t="s">
        <v>487</v>
      </c>
      <c r="AD36" s="248"/>
      <c r="AE36" s="248"/>
      <c r="AF36" s="248"/>
      <c r="AG36" s="248"/>
      <c r="AH36" s="248"/>
      <c r="AI36" s="248"/>
      <c r="AJ36" s="248"/>
      <c r="AK36" s="194" t="s">
        <v>487</v>
      </c>
      <c r="AN36" s="292"/>
      <c r="AO36" s="292"/>
      <c r="AP36" s="292"/>
      <c r="AQ36" s="292"/>
      <c r="AR36" s="292"/>
    </row>
    <row r="37" spans="1:44" ht="14.25" customHeight="1">
      <c r="Q37" s="300"/>
      <c r="R37" s="300"/>
      <c r="S37" s="1197"/>
      <c r="T37" s="286"/>
      <c r="U37" s="1155"/>
      <c r="V37" s="2087"/>
      <c r="W37" s="2087"/>
      <c r="X37" s="2087"/>
      <c r="Y37" s="2087"/>
      <c r="Z37" s="2087"/>
      <c r="AA37" s="2087"/>
      <c r="AB37" s="2087"/>
      <c r="AC37" s="2087"/>
      <c r="AD37" s="2087"/>
      <c r="AE37" s="2087"/>
      <c r="AF37" s="2087"/>
      <c r="AG37" s="2087"/>
      <c r="AH37" s="2087"/>
      <c r="AI37" s="2087"/>
      <c r="AJ37" s="2087"/>
      <c r="AK37" s="2087"/>
    </row>
    <row r="38" spans="1:44" ht="14.25" customHeight="1">
      <c r="Q38" s="300"/>
      <c r="R38" s="300"/>
      <c r="S38" s="1874" t="s">
        <v>291</v>
      </c>
      <c r="T38" s="1874"/>
      <c r="U38" s="1874"/>
      <c r="V38" s="1874"/>
      <c r="W38" s="1874"/>
      <c r="X38" s="1874"/>
      <c r="Y38" s="1874"/>
      <c r="Z38" s="1874"/>
      <c r="AA38" s="1874"/>
      <c r="AB38" s="1874"/>
      <c r="AC38" s="1874"/>
      <c r="AD38" s="1874"/>
      <c r="AE38" s="1874"/>
      <c r="AF38" s="1874"/>
      <c r="AG38" s="1874"/>
      <c r="AH38" s="1874"/>
      <c r="AI38" s="1874"/>
      <c r="AJ38" s="1874"/>
      <c r="AK38" s="1874"/>
      <c r="AL38" s="1874"/>
      <c r="AM38" s="1874" t="s">
        <v>292</v>
      </c>
    </row>
    <row r="39" spans="1:44" ht="14.25" customHeight="1">
      <c r="Q39" s="300"/>
      <c r="R39" s="300"/>
      <c r="S39" s="2088" t="s">
        <v>88</v>
      </c>
      <c r="T39" s="1959" t="s">
        <v>488</v>
      </c>
      <c r="U39" s="215"/>
      <c r="V39" s="2089" t="s">
        <v>489</v>
      </c>
      <c r="W39" s="2090"/>
      <c r="X39" s="2090"/>
      <c r="Y39" s="2090"/>
      <c r="Z39" s="2090"/>
      <c r="AA39" s="2090"/>
      <c r="AB39" s="2091"/>
      <c r="AC39" s="2092" t="s">
        <v>490</v>
      </c>
      <c r="AD39" s="2089" t="s">
        <v>489</v>
      </c>
      <c r="AE39" s="2090"/>
      <c r="AF39" s="2090"/>
      <c r="AG39" s="2090"/>
      <c r="AH39" s="2090"/>
      <c r="AI39" s="2090"/>
      <c r="AJ39" s="2091"/>
      <c r="AK39" s="2092" t="s">
        <v>491</v>
      </c>
      <c r="AL39" s="2095" t="s">
        <v>492</v>
      </c>
      <c r="AM39" s="1874"/>
    </row>
    <row r="40" spans="1:44" ht="33.75" customHeight="1">
      <c r="Q40" s="300"/>
      <c r="R40" s="300"/>
      <c r="S40" s="2088"/>
      <c r="T40" s="1959"/>
      <c r="U40" s="939"/>
      <c r="V40" s="1928" t="s">
        <v>493</v>
      </c>
      <c r="W40" s="2084" t="s">
        <v>494</v>
      </c>
      <c r="X40" s="1856" t="s">
        <v>495</v>
      </c>
      <c r="Y40" s="1855"/>
      <c r="Z40" s="1856" t="s">
        <v>496</v>
      </c>
      <c r="AA40" s="1861"/>
      <c r="AB40" s="1855"/>
      <c r="AC40" s="2093"/>
      <c r="AD40" s="1928" t="s">
        <v>493</v>
      </c>
      <c r="AE40" s="2084" t="s">
        <v>494</v>
      </c>
      <c r="AF40" s="1856" t="s">
        <v>495</v>
      </c>
      <c r="AG40" s="1855"/>
      <c r="AH40" s="1856" t="s">
        <v>496</v>
      </c>
      <c r="AI40" s="1861"/>
      <c r="AJ40" s="1855"/>
      <c r="AK40" s="2093"/>
      <c r="AL40" s="2096"/>
      <c r="AM40" s="1874"/>
    </row>
    <row r="41" spans="1:44" ht="33.75" customHeight="1">
      <c r="A41" s="1288"/>
      <c r="B41" s="1288" t="s">
        <v>140</v>
      </c>
      <c r="C41" s="1288" t="s">
        <v>141</v>
      </c>
      <c r="D41" s="1288" t="s">
        <v>142</v>
      </c>
      <c r="E41" s="1282" t="s">
        <v>497</v>
      </c>
      <c r="F41" s="1282" t="s">
        <v>498</v>
      </c>
      <c r="G41" s="1282" t="s">
        <v>499</v>
      </c>
      <c r="H41" s="1282" t="s">
        <v>500</v>
      </c>
      <c r="I41" s="1282" t="s">
        <v>501</v>
      </c>
      <c r="J41" s="1282" t="s">
        <v>502</v>
      </c>
      <c r="K41" s="1282" t="s">
        <v>503</v>
      </c>
      <c r="L41" s="1282" t="s">
        <v>478</v>
      </c>
      <c r="Q41" s="300"/>
      <c r="R41" s="300"/>
      <c r="S41" s="2088"/>
      <c r="T41" s="1959"/>
      <c r="U41" s="216"/>
      <c r="V41" s="1984"/>
      <c r="W41" s="2085"/>
      <c r="X41" s="1130" t="s">
        <v>504</v>
      </c>
      <c r="Y41" s="1130" t="s">
        <v>505</v>
      </c>
      <c r="Z41" s="1129" t="s">
        <v>506</v>
      </c>
      <c r="AA41" s="1965" t="s">
        <v>507</v>
      </c>
      <c r="AB41" s="1979"/>
      <c r="AC41" s="2094"/>
      <c r="AD41" s="1984"/>
      <c r="AE41" s="2085"/>
      <c r="AF41" s="1130" t="s">
        <v>504</v>
      </c>
      <c r="AG41" s="1130" t="s">
        <v>505</v>
      </c>
      <c r="AH41" s="1233" t="s">
        <v>506</v>
      </c>
      <c r="AI41" s="1965" t="s">
        <v>507</v>
      </c>
      <c r="AJ41" s="1979"/>
      <c r="AK41" s="2094"/>
      <c r="AL41" s="2097"/>
      <c r="AM41" s="1874"/>
    </row>
    <row r="42" spans="1:44" s="1558" customFormat="1" ht="11.25" hidden="1" customHeight="1">
      <c r="A42" s="1288"/>
      <c r="B42" s="1288"/>
      <c r="C42" s="1288"/>
      <c r="D42" s="1288"/>
      <c r="E42" s="1288"/>
      <c r="F42" s="1288"/>
      <c r="G42" s="1288"/>
      <c r="H42" s="1288"/>
      <c r="I42" s="1288"/>
      <c r="J42" s="1288"/>
      <c r="K42" s="1288"/>
      <c r="L42" s="1282"/>
      <c r="M42" s="1280"/>
      <c r="N42" s="1280"/>
      <c r="O42" s="1280"/>
      <c r="P42" s="1157"/>
      <c r="Q42" s="1158"/>
      <c r="R42" s="1173">
        <v>1</v>
      </c>
      <c r="S42" s="1199" t="s">
        <v>109</v>
      </c>
      <c r="T42" s="1174" t="s">
        <v>110</v>
      </c>
      <c r="U42" s="1156" t="str">
        <f ca="1">OFFSET(U42,0,-1)</f>
        <v>2</v>
      </c>
      <c r="V42" s="1175">
        <f ca="1">OFFSET(V42,0,-1)+1</f>
        <v>3</v>
      </c>
      <c r="W42" s="1175"/>
      <c r="X42" s="1175">
        <f ca="1">OFFSET(X42,0,-1)+1</f>
        <v>1</v>
      </c>
      <c r="Y42" s="1175">
        <f ca="1">OFFSET(Y42,0,-1)+1</f>
        <v>2</v>
      </c>
      <c r="Z42" s="1175">
        <f ca="1">OFFSET(Z42,0,-1)+1</f>
        <v>3</v>
      </c>
      <c r="AA42" s="2086">
        <f ca="1">OFFSET(AA42,0,-1)+1</f>
        <v>4</v>
      </c>
      <c r="AB42" s="2086"/>
      <c r="AC42" s="1175">
        <f ca="1">OFFSET(AC42,0,-2)+1</f>
        <v>5</v>
      </c>
      <c r="AD42" s="1232">
        <f ca="1">OFFSET(AD42,0,-1)+1</f>
        <v>6</v>
      </c>
      <c r="AE42" s="1232"/>
      <c r="AF42" s="1232">
        <f ca="1">OFFSET(AF42,0,-1)+1</f>
        <v>1</v>
      </c>
      <c r="AG42" s="1232">
        <f ca="1">OFFSET(AG42,0,-1)+1</f>
        <v>2</v>
      </c>
      <c r="AH42" s="1232">
        <f ca="1">OFFSET(AH42,0,-1)+1</f>
        <v>3</v>
      </c>
      <c r="AI42" s="2086">
        <f ca="1">OFFSET(AI42,0,-1)+1</f>
        <v>4</v>
      </c>
      <c r="AJ42" s="2086"/>
      <c r="AK42" s="1232">
        <f ca="1">OFFSET(AK42,0,-2)+1</f>
        <v>5</v>
      </c>
      <c r="AL42" s="1156">
        <f ca="1">OFFSET(AL42,0,-1)</f>
        <v>5</v>
      </c>
      <c r="AM42" s="1175">
        <f ca="1">OFFSET(AM42,0,-1)+1</f>
        <v>6</v>
      </c>
      <c r="AN42" s="437"/>
      <c r="AO42" s="437"/>
      <c r="AP42" s="437"/>
      <c r="AQ42" s="437"/>
      <c r="AR42" s="437"/>
    </row>
    <row r="43" spans="1:44" ht="23.25" customHeight="1">
      <c r="A43" s="1281" t="s">
        <v>161</v>
      </c>
      <c r="B43" s="1281"/>
      <c r="C43" s="1281"/>
      <c r="D43" s="1281"/>
      <c r="E43" s="2076">
        <v>1</v>
      </c>
      <c r="F43" s="1281"/>
      <c r="G43" s="1281"/>
      <c r="H43" s="1281"/>
      <c r="I43" s="1281"/>
      <c r="J43" s="1281"/>
      <c r="K43" s="1281"/>
      <c r="L43" s="1282"/>
      <c r="M43" s="1283"/>
      <c r="N43" s="1283"/>
      <c r="O43" s="1283"/>
      <c r="P43" s="282"/>
      <c r="Q43" s="281"/>
      <c r="R43" s="276"/>
      <c r="S43" s="1134">
        <f>INDEX(PT_DIFFERENTIATION_NUM_NTAR,MATCH(A43,PT_DIFFERENTIATION_NTAR_ID,0))</f>
        <v>0</v>
      </c>
      <c r="T43" s="212" t="s">
        <v>128</v>
      </c>
      <c r="U43" s="214"/>
      <c r="V43" s="2070"/>
      <c r="W43" s="2071"/>
      <c r="X43" s="2071"/>
      <c r="Y43" s="2071"/>
      <c r="Z43" s="2071"/>
      <c r="AA43" s="2071"/>
      <c r="AB43" s="2071"/>
      <c r="AC43" s="2072"/>
      <c r="AD43" s="2070" t="str">
        <f>INDEX(PT_DIFFERENTIATION_NTAR,MATCH(A43,PT_DIFFERENTIATION_NTAR_ID,0))</f>
        <v/>
      </c>
      <c r="AE43" s="2071"/>
      <c r="AF43" s="2071"/>
      <c r="AG43" s="2071"/>
      <c r="AH43" s="2071"/>
      <c r="AI43" s="2071"/>
      <c r="AJ43" s="2071"/>
      <c r="AK43" s="2071"/>
      <c r="AL43" s="2072"/>
      <c r="AM43" s="1179"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426"/>
      <c r="AP43" s="426" t="str">
        <f t="shared" ref="AP43:AP57" si="1">IF(T43="","",T43)</f>
        <v>Наименование тарифа</v>
      </c>
      <c r="AQ43" s="426"/>
      <c r="AR43" s="426"/>
    </row>
    <row r="44" spans="1:44" ht="23.25" customHeight="1">
      <c r="A44" s="1281" t="s">
        <v>161</v>
      </c>
      <c r="B44" s="1281" t="s">
        <v>162</v>
      </c>
      <c r="C44" s="1281"/>
      <c r="D44" s="1281"/>
      <c r="E44" s="2077"/>
      <c r="F44" s="2076">
        <v>1</v>
      </c>
      <c r="G44" s="1281"/>
      <c r="H44" s="1281"/>
      <c r="I44" s="1281"/>
      <c r="J44" s="1281"/>
      <c r="K44" s="1281"/>
      <c r="L44" s="1282"/>
      <c r="M44" s="1283"/>
      <c r="N44" s="1283"/>
      <c r="O44" s="1283"/>
      <c r="P44" s="448"/>
      <c r="Q44" s="273"/>
      <c r="R44" s="274"/>
      <c r="S44" s="1134" t="str">
        <f>INDEX(PT_DIFFERENTIATION_NUM_TER,MATCH(B44,PT_DIFFERENTIATION_TER_ID,0))</f>
        <v>.</v>
      </c>
      <c r="T44" s="224" t="s">
        <v>460</v>
      </c>
      <c r="U44" s="214"/>
      <c r="V44" s="2070"/>
      <c r="W44" s="2071"/>
      <c r="X44" s="2071"/>
      <c r="Y44" s="2071"/>
      <c r="Z44" s="2071"/>
      <c r="AA44" s="2071"/>
      <c r="AB44" s="2071"/>
      <c r="AC44" s="2072"/>
      <c r="AD44" s="2070" t="str">
        <f>INDEX(PT_DIFFERENTIATION_TER,MATCH(B44,PT_DIFFERENTIATION_TER_ID,0))</f>
        <v/>
      </c>
      <c r="AE44" s="2071"/>
      <c r="AF44" s="2071"/>
      <c r="AG44" s="2071"/>
      <c r="AH44" s="2071"/>
      <c r="AI44" s="2071"/>
      <c r="AJ44" s="2071"/>
      <c r="AK44" s="2071"/>
      <c r="AL44" s="2072"/>
      <c r="AM44" s="1179" t="s">
        <v>461</v>
      </c>
      <c r="AO44" s="426"/>
      <c r="AP44" s="426" t="str">
        <f t="shared" si="1"/>
        <v>Территория действия тарифа</v>
      </c>
      <c r="AQ44" s="426"/>
      <c r="AR44" s="426"/>
    </row>
    <row r="45" spans="1:44" ht="23.25" customHeight="1">
      <c r="A45" s="1281" t="s">
        <v>161</v>
      </c>
      <c r="B45" s="1281" t="s">
        <v>162</v>
      </c>
      <c r="C45" s="1281" t="s">
        <v>163</v>
      </c>
      <c r="D45" s="1281"/>
      <c r="E45" s="2077"/>
      <c r="F45" s="2077"/>
      <c r="G45" s="2076">
        <v>1</v>
      </c>
      <c r="H45" s="1281"/>
      <c r="I45" s="1281"/>
      <c r="J45" s="1281"/>
      <c r="K45" s="1281"/>
      <c r="L45" s="1282"/>
      <c r="M45" s="1283"/>
      <c r="N45" s="1283"/>
      <c r="O45" s="1283"/>
      <c r="P45" s="275"/>
      <c r="Q45" s="273"/>
      <c r="R45" s="274"/>
      <c r="S45" s="1134" t="str">
        <f>INDEX(PT_DIFFERENTIATION_NUM_CS,MATCH(C45,PT_DIFFERENTIATION_CS_ID,0))</f>
        <v>..</v>
      </c>
      <c r="T45" s="225" t="s">
        <v>462</v>
      </c>
      <c r="U45" s="214"/>
      <c r="V45" s="2070"/>
      <c r="W45" s="2071"/>
      <c r="X45" s="2071"/>
      <c r="Y45" s="2071"/>
      <c r="Z45" s="2071"/>
      <c r="AA45" s="2071"/>
      <c r="AB45" s="2071"/>
      <c r="AC45" s="2072"/>
      <c r="AD45" s="2070" t="str">
        <f>INDEX(PT_DIFFERENTIATION_CS,MATCH(C45,PT_DIFFERENTIATION_CS_ID,0))</f>
        <v/>
      </c>
      <c r="AE45" s="2071"/>
      <c r="AF45" s="2071"/>
      <c r="AG45" s="2071"/>
      <c r="AH45" s="2071"/>
      <c r="AI45" s="2071"/>
      <c r="AJ45" s="2071"/>
      <c r="AK45" s="2071"/>
      <c r="AL45" s="2072"/>
      <c r="AM45" s="1179" t="s">
        <v>463</v>
      </c>
      <c r="AO45" s="426"/>
      <c r="AP45" s="426" t="str">
        <f t="shared" si="1"/>
        <v xml:space="preserve">Наименование системы теплоснабжения </v>
      </c>
      <c r="AQ45" s="426"/>
      <c r="AR45" s="426"/>
    </row>
    <row r="46" spans="1:44" ht="23.25" customHeight="1">
      <c r="A46" s="1281" t="s">
        <v>161</v>
      </c>
      <c r="B46" s="1281" t="s">
        <v>162</v>
      </c>
      <c r="C46" s="1281" t="s">
        <v>163</v>
      </c>
      <c r="D46" s="1281" t="s">
        <v>164</v>
      </c>
      <c r="E46" s="2077"/>
      <c r="F46" s="2077"/>
      <c r="G46" s="2077"/>
      <c r="H46" s="2076">
        <v>1</v>
      </c>
      <c r="I46" s="1281"/>
      <c r="J46" s="1281"/>
      <c r="K46" s="1281"/>
      <c r="L46" s="1282"/>
      <c r="M46" s="1283"/>
      <c r="N46" s="1283"/>
      <c r="O46" s="1283"/>
      <c r="P46" s="275"/>
      <c r="Q46" s="273"/>
      <c r="R46" s="274"/>
      <c r="S46" s="1134" t="str">
        <f>INDEX(PT_DIFFERENTIATION_NUM_IST_TE,MATCH(D46,PT_DIFFERENTIATION_IST_TE_ID,0))</f>
        <v>...</v>
      </c>
      <c r="T46" s="226" t="s">
        <v>464</v>
      </c>
      <c r="U46" s="214"/>
      <c r="V46" s="2070"/>
      <c r="W46" s="2071"/>
      <c r="X46" s="2071"/>
      <c r="Y46" s="2071"/>
      <c r="Z46" s="2071"/>
      <c r="AA46" s="2071"/>
      <c r="AB46" s="2071"/>
      <c r="AC46" s="2072"/>
      <c r="AD46" s="2070" t="str">
        <f>INDEX(PT_DIFFERENTIATION_IST_TE,MATCH(D46,PT_DIFFERENTIATION_IST_TE_ID,0))</f>
        <v/>
      </c>
      <c r="AE46" s="2071"/>
      <c r="AF46" s="2071"/>
      <c r="AG46" s="2071"/>
      <c r="AH46" s="2071"/>
      <c r="AI46" s="2071"/>
      <c r="AJ46" s="2071"/>
      <c r="AK46" s="2071"/>
      <c r="AL46" s="2072"/>
      <c r="AM46" s="1179" t="s">
        <v>465</v>
      </c>
      <c r="AO46" s="426"/>
      <c r="AP46" s="426" t="str">
        <f t="shared" si="1"/>
        <v xml:space="preserve">Источник тепловой энергии  </v>
      </c>
      <c r="AQ46" s="426"/>
      <c r="AR46" s="426"/>
    </row>
    <row r="47" spans="1:44" ht="47.25" customHeight="1">
      <c r="A47" s="1281" t="s">
        <v>161</v>
      </c>
      <c r="B47" s="1281" t="s">
        <v>162</v>
      </c>
      <c r="C47" s="1281" t="s">
        <v>163</v>
      </c>
      <c r="D47" s="1281" t="s">
        <v>164</v>
      </c>
      <c r="E47" s="2077"/>
      <c r="F47" s="2077"/>
      <c r="G47" s="2077"/>
      <c r="H47" s="2077"/>
      <c r="I47" s="2078" t="str">
        <f>S46&amp;".1"</f>
        <v>....1</v>
      </c>
      <c r="J47" s="1281"/>
      <c r="K47" s="1281"/>
      <c r="L47" s="1282" t="s">
        <v>466</v>
      </c>
      <c r="P47" s="1995">
        <v>1</v>
      </c>
      <c r="Q47" s="1128"/>
      <c r="R47" s="277"/>
      <c r="S47" s="1134" t="str">
        <f>$I47</f>
        <v>....1</v>
      </c>
      <c r="T47" s="200" t="s">
        <v>467</v>
      </c>
      <c r="U47" s="214"/>
      <c r="V47" s="2064"/>
      <c r="W47" s="2065"/>
      <c r="X47" s="2065"/>
      <c r="Y47" s="2065"/>
      <c r="Z47" s="2065"/>
      <c r="AA47" s="2065"/>
      <c r="AB47" s="2065"/>
      <c r="AC47" s="2066"/>
      <c r="AD47" s="2064"/>
      <c r="AE47" s="2065"/>
      <c r="AF47" s="2065"/>
      <c r="AG47" s="2065"/>
      <c r="AH47" s="2065"/>
      <c r="AI47" s="2065"/>
      <c r="AJ47" s="2065"/>
      <c r="AK47" s="2065"/>
      <c r="AL47" s="2066"/>
      <c r="AM47" s="1179" t="s">
        <v>468</v>
      </c>
      <c r="AO47" s="426"/>
      <c r="AP47" s="426" t="str">
        <f t="shared" si="1"/>
        <v>Схема подключения теплопотребляющей установки к коллектору источника тепловой энергии</v>
      </c>
      <c r="AQ47" s="426"/>
      <c r="AR47" s="426"/>
    </row>
    <row r="48" spans="1:44" ht="23.25" customHeight="1">
      <c r="A48" s="1281" t="s">
        <v>161</v>
      </c>
      <c r="B48" s="1281" t="s">
        <v>162</v>
      </c>
      <c r="C48" s="1281" t="s">
        <v>163</v>
      </c>
      <c r="D48" s="1281" t="s">
        <v>164</v>
      </c>
      <c r="E48" s="2077"/>
      <c r="F48" s="2077"/>
      <c r="G48" s="2077"/>
      <c r="H48" s="2077"/>
      <c r="I48" s="2079"/>
      <c r="J48" s="2078" t="str">
        <f>I47&amp;".1"</f>
        <v>....1.1</v>
      </c>
      <c r="K48" s="1281"/>
      <c r="L48" s="1282" t="s">
        <v>469</v>
      </c>
      <c r="P48" s="1995"/>
      <c r="Q48" s="1995">
        <v>1</v>
      </c>
      <c r="R48" s="278"/>
      <c r="S48" s="1134" t="str">
        <f>$J48</f>
        <v>....1.1</v>
      </c>
      <c r="T48" s="201" t="s">
        <v>470</v>
      </c>
      <c r="U48" s="214"/>
      <c r="V48" s="2064"/>
      <c r="W48" s="2065"/>
      <c r="X48" s="2065"/>
      <c r="Y48" s="2065"/>
      <c r="Z48" s="2065"/>
      <c r="AA48" s="2065"/>
      <c r="AB48" s="2065"/>
      <c r="AC48" s="2066"/>
      <c r="AD48" s="2064"/>
      <c r="AE48" s="2065"/>
      <c r="AF48" s="2065"/>
      <c r="AG48" s="2065"/>
      <c r="AH48" s="2065"/>
      <c r="AI48" s="2065"/>
      <c r="AJ48" s="2065"/>
      <c r="AK48" s="2065"/>
      <c r="AL48" s="2066"/>
      <c r="AM48" s="1179" t="s">
        <v>471</v>
      </c>
      <c r="AO48" s="426"/>
      <c r="AP48" s="426" t="str">
        <f t="shared" si="1"/>
        <v>Группа потребителей</v>
      </c>
      <c r="AQ48" s="426"/>
      <c r="AR48" s="426"/>
    </row>
    <row r="49" spans="1:44" ht="23.25" customHeight="1">
      <c r="A49" s="1281" t="s">
        <v>161</v>
      </c>
      <c r="B49" s="1281" t="s">
        <v>162</v>
      </c>
      <c r="C49" s="1281" t="s">
        <v>163</v>
      </c>
      <c r="D49" s="1281" t="s">
        <v>164</v>
      </c>
      <c r="E49" s="2077"/>
      <c r="F49" s="2077"/>
      <c r="G49" s="2077"/>
      <c r="H49" s="2077"/>
      <c r="I49" s="2079"/>
      <c r="J49" s="2079"/>
      <c r="K49" s="2078" t="str">
        <f>J48&amp;".1"</f>
        <v>....1.1.1</v>
      </c>
      <c r="L49" s="1282" t="s">
        <v>472</v>
      </c>
      <c r="P49" s="1995"/>
      <c r="Q49" s="1995"/>
      <c r="R49" s="278">
        <v>1</v>
      </c>
      <c r="S49" s="1134" t="str">
        <f>$K49</f>
        <v>....1.1.1</v>
      </c>
      <c r="T49" s="1266"/>
      <c r="U49" s="214"/>
      <c r="V49" s="664"/>
      <c r="W49" s="246"/>
      <c r="X49" s="664"/>
      <c r="Y49" s="1178"/>
      <c r="Z49" s="2080"/>
      <c r="AA49" s="1885" t="s">
        <v>59</v>
      </c>
      <c r="AB49" s="2080"/>
      <c r="AC49" s="1885" t="s">
        <v>59</v>
      </c>
      <c r="AD49" s="664"/>
      <c r="AE49" s="246"/>
      <c r="AF49" s="664"/>
      <c r="AG49" s="1178"/>
      <c r="AH49" s="2080"/>
      <c r="AI49" s="1885" t="s">
        <v>59</v>
      </c>
      <c r="AJ49" s="2082"/>
      <c r="AK49" s="1885" t="s">
        <v>59</v>
      </c>
      <c r="AL49" s="1267"/>
      <c r="AM49" s="2098" t="s">
        <v>473</v>
      </c>
      <c r="AN49" s="437" t="e">
        <f ca="1">STRCHECKDATE(V50:AL50)</f>
        <v>#NAME?</v>
      </c>
      <c r="AO49" s="426"/>
      <c r="AP49" s="426" t="str">
        <f t="shared" si="1"/>
        <v/>
      </c>
      <c r="AQ49" s="426"/>
      <c r="AR49" s="426"/>
    </row>
    <row r="50" spans="1:44" ht="0.75" customHeight="1">
      <c r="A50" s="1281" t="s">
        <v>161</v>
      </c>
      <c r="B50" s="1281" t="s">
        <v>162</v>
      </c>
      <c r="C50" s="1281" t="s">
        <v>163</v>
      </c>
      <c r="D50" s="1281" t="s">
        <v>164</v>
      </c>
      <c r="E50" s="2077"/>
      <c r="F50" s="2077"/>
      <c r="G50" s="2077"/>
      <c r="H50" s="2077"/>
      <c r="I50" s="2079"/>
      <c r="J50" s="2079"/>
      <c r="K50" s="2078"/>
      <c r="L50" s="1282"/>
      <c r="P50" s="1995"/>
      <c r="Q50" s="1995"/>
      <c r="R50" s="278"/>
      <c r="S50" s="1132"/>
      <c r="T50" s="214"/>
      <c r="U50" s="214"/>
      <c r="V50" s="246"/>
      <c r="W50" s="246"/>
      <c r="X50" s="246"/>
      <c r="Y50" s="250" t="str">
        <f>Z49&amp;"-"&amp;AB49</f>
        <v>-</v>
      </c>
      <c r="Z50" s="2081"/>
      <c r="AA50" s="1885"/>
      <c r="AB50" s="2081"/>
      <c r="AC50" s="1885"/>
      <c r="AD50" s="246"/>
      <c r="AE50" s="246"/>
      <c r="AF50" s="246"/>
      <c r="AG50" s="250" t="str">
        <f>AH49&amp;"-"&amp;AJ49</f>
        <v>-</v>
      </c>
      <c r="AH50" s="2081"/>
      <c r="AI50" s="1885"/>
      <c r="AJ50" s="2083"/>
      <c r="AK50" s="1885"/>
      <c r="AL50" s="1268"/>
      <c r="AM50" s="2099"/>
      <c r="AO50" s="426"/>
      <c r="AP50" s="426" t="str">
        <f t="shared" si="1"/>
        <v/>
      </c>
      <c r="AQ50" s="426"/>
      <c r="AR50" s="426"/>
    </row>
    <row r="51" spans="1:44" ht="11.25" customHeight="1">
      <c r="A51" s="1281" t="s">
        <v>161</v>
      </c>
      <c r="B51" s="1281" t="s">
        <v>162</v>
      </c>
      <c r="C51" s="1281" t="s">
        <v>163</v>
      </c>
      <c r="D51" s="1281" t="s">
        <v>164</v>
      </c>
      <c r="E51" s="2077"/>
      <c r="F51" s="2077"/>
      <c r="G51" s="2077"/>
      <c r="H51" s="2077"/>
      <c r="I51" s="2079"/>
      <c r="J51" s="2078"/>
      <c r="K51" s="1281"/>
      <c r="L51" s="1282"/>
      <c r="P51" s="1995"/>
      <c r="Q51" s="1995"/>
      <c r="R51" s="277"/>
      <c r="S51" s="1200"/>
      <c r="T51" s="203" t="s">
        <v>474</v>
      </c>
      <c r="U51" s="291"/>
      <c r="V51" s="291"/>
      <c r="W51" s="291"/>
      <c r="X51" s="291"/>
      <c r="Y51" s="291"/>
      <c r="Z51" s="291"/>
      <c r="AA51" s="291"/>
      <c r="AB51" s="291"/>
      <c r="AC51" s="291"/>
      <c r="AD51" s="291"/>
      <c r="AE51" s="291"/>
      <c r="AF51" s="291"/>
      <c r="AG51" s="291"/>
      <c r="AH51" s="291"/>
      <c r="AI51" s="291"/>
      <c r="AJ51" s="291"/>
      <c r="AK51" s="291"/>
      <c r="AL51" s="245"/>
      <c r="AM51" s="2100"/>
      <c r="AO51" s="426"/>
      <c r="AP51" s="426" t="str">
        <f t="shared" si="1"/>
        <v>Добавить вид теплоносителя (параметры теплоносителя)</v>
      </c>
      <c r="AQ51" s="426"/>
      <c r="AR51" s="426"/>
    </row>
    <row r="52" spans="1:44" ht="11.25" customHeight="1">
      <c r="A52" s="1281" t="s">
        <v>161</v>
      </c>
      <c r="B52" s="1281" t="s">
        <v>162</v>
      </c>
      <c r="C52" s="1281" t="s">
        <v>163</v>
      </c>
      <c r="D52" s="1281" t="s">
        <v>164</v>
      </c>
      <c r="E52" s="2077"/>
      <c r="F52" s="2077"/>
      <c r="G52" s="2077"/>
      <c r="H52" s="2077"/>
      <c r="I52" s="2078"/>
      <c r="J52" s="1281"/>
      <c r="K52" s="1281"/>
      <c r="L52" s="1282"/>
      <c r="P52" s="1995"/>
      <c r="Q52" s="1128"/>
      <c r="R52" s="277"/>
      <c r="S52" s="1200"/>
      <c r="T52" s="202" t="s">
        <v>475</v>
      </c>
      <c r="U52" s="291"/>
      <c r="V52" s="291"/>
      <c r="W52" s="291"/>
      <c r="X52" s="291"/>
      <c r="Y52" s="291"/>
      <c r="Z52" s="291"/>
      <c r="AA52" s="291"/>
      <c r="AB52" s="291"/>
      <c r="AC52" s="290"/>
      <c r="AD52" s="291"/>
      <c r="AE52" s="291"/>
      <c r="AF52" s="291"/>
      <c r="AG52" s="291"/>
      <c r="AH52" s="291"/>
      <c r="AI52" s="291"/>
      <c r="AJ52" s="291"/>
      <c r="AK52" s="290"/>
      <c r="AL52" s="291"/>
      <c r="AM52" s="217"/>
      <c r="AO52" s="426"/>
      <c r="AP52" s="426" t="str">
        <f t="shared" si="1"/>
        <v>Добавить группу потребителей</v>
      </c>
      <c r="AQ52" s="426"/>
      <c r="AR52" s="426"/>
    </row>
    <row r="53" spans="1:44" ht="14.25" customHeight="1">
      <c r="A53" s="1281" t="s">
        <v>161</v>
      </c>
      <c r="B53" s="1281" t="s">
        <v>162</v>
      </c>
      <c r="C53" s="1281" t="s">
        <v>163</v>
      </c>
      <c r="D53" s="1281" t="s">
        <v>164</v>
      </c>
      <c r="E53" s="2077"/>
      <c r="F53" s="2077"/>
      <c r="G53" s="2077"/>
      <c r="H53" s="2076"/>
      <c r="I53" s="1281"/>
      <c r="J53" s="1281"/>
      <c r="K53" s="1281"/>
      <c r="L53" s="1282"/>
      <c r="M53" s="1283"/>
      <c r="N53" s="1283"/>
      <c r="O53" s="462"/>
      <c r="P53" s="281"/>
      <c r="Q53" s="299"/>
      <c r="R53" s="276"/>
      <c r="S53" s="1200"/>
      <c r="T53" s="288" t="s">
        <v>476</v>
      </c>
      <c r="U53" s="291"/>
      <c r="V53" s="291"/>
      <c r="W53" s="291"/>
      <c r="X53" s="291"/>
      <c r="Y53" s="291"/>
      <c r="Z53" s="291"/>
      <c r="AA53" s="291"/>
      <c r="AB53" s="291"/>
      <c r="AC53" s="290"/>
      <c r="AD53" s="291"/>
      <c r="AE53" s="291"/>
      <c r="AF53" s="291"/>
      <c r="AG53" s="291"/>
      <c r="AH53" s="291"/>
      <c r="AI53" s="291"/>
      <c r="AJ53" s="291"/>
      <c r="AK53" s="290"/>
      <c r="AL53" s="291"/>
      <c r="AM53" s="217"/>
      <c r="AO53" s="426"/>
      <c r="AP53" s="426" t="str">
        <f t="shared" si="1"/>
        <v>Добавить схему подключения</v>
      </c>
      <c r="AQ53" s="426"/>
      <c r="AR53" s="426"/>
    </row>
    <row r="54" spans="1:44" s="1559" customFormat="1" ht="0.75" customHeight="1">
      <c r="A54" s="1262" t="s">
        <v>161</v>
      </c>
      <c r="B54" s="1262" t="s">
        <v>162</v>
      </c>
      <c r="C54" s="1262" t="s">
        <v>163</v>
      </c>
      <c r="D54" s="1234"/>
      <c r="E54" s="2077"/>
      <c r="F54" s="2077"/>
      <c r="G54" s="2076"/>
      <c r="H54" s="1234"/>
      <c r="I54" s="1234"/>
      <c r="J54" s="1234"/>
      <c r="K54" s="1234"/>
      <c r="L54" s="1258"/>
      <c r="M54" s="1235"/>
      <c r="N54" s="1235"/>
      <c r="P54" s="1236"/>
      <c r="Q54" s="1237"/>
      <c r="R54" s="1236"/>
      <c r="S54" s="1242"/>
      <c r="T54" s="1245" t="s">
        <v>433</v>
      </c>
      <c r="U54" s="1244"/>
      <c r="V54" s="1244"/>
      <c r="W54" s="1244"/>
      <c r="X54" s="1244"/>
      <c r="Y54" s="1244"/>
      <c r="Z54" s="1244"/>
      <c r="AA54" s="1244"/>
      <c r="AB54" s="1244"/>
      <c r="AC54" s="1244"/>
      <c r="AD54" s="1244"/>
      <c r="AE54" s="1244"/>
      <c r="AF54" s="1244"/>
      <c r="AG54" s="1244"/>
      <c r="AH54" s="1244"/>
      <c r="AI54" s="1244"/>
      <c r="AJ54" s="1244"/>
      <c r="AK54" s="1244"/>
      <c r="AL54" s="1244"/>
      <c r="AM54" s="1244"/>
      <c r="AO54" s="702"/>
      <c r="AP54" s="702" t="str">
        <f t="shared" si="1"/>
        <v>Добавить источник для дифференциации</v>
      </c>
      <c r="AQ54" s="702"/>
      <c r="AR54" s="702"/>
    </row>
    <row r="55" spans="1:44" s="1559" customFormat="1" ht="0.75" customHeight="1">
      <c r="A55" s="1262" t="s">
        <v>161</v>
      </c>
      <c r="B55" s="1262" t="s">
        <v>162</v>
      </c>
      <c r="C55" s="1234"/>
      <c r="D55" s="1234"/>
      <c r="E55" s="2077"/>
      <c r="F55" s="2076"/>
      <c r="G55" s="1234"/>
      <c r="H55" s="1234"/>
      <c r="I55" s="1234"/>
      <c r="J55" s="1234"/>
      <c r="K55" s="1234"/>
      <c r="L55" s="1258"/>
      <c r="M55" s="1241"/>
      <c r="N55" s="1241"/>
      <c r="P55" s="1236"/>
      <c r="Q55" s="1237"/>
      <c r="R55" s="1236"/>
      <c r="S55" s="1242"/>
      <c r="T55" s="1245" t="s">
        <v>434</v>
      </c>
      <c r="U55" s="1244"/>
      <c r="V55" s="1244"/>
      <c r="W55" s="1244"/>
      <c r="X55" s="1244"/>
      <c r="Y55" s="1244"/>
      <c r="Z55" s="1244"/>
      <c r="AA55" s="1244"/>
      <c r="AB55" s="1244"/>
      <c r="AC55" s="1244"/>
      <c r="AD55" s="1244"/>
      <c r="AE55" s="1244"/>
      <c r="AF55" s="1244"/>
      <c r="AG55" s="1244"/>
      <c r="AH55" s="1244"/>
      <c r="AI55" s="1244"/>
      <c r="AJ55" s="1244"/>
      <c r="AK55" s="1244"/>
      <c r="AL55" s="1244"/>
      <c r="AM55" s="1244"/>
      <c r="AO55" s="702"/>
      <c r="AP55" s="702" t="str">
        <f t="shared" si="1"/>
        <v>Добавить централизованную систему для дифференциации</v>
      </c>
      <c r="AQ55" s="702"/>
      <c r="AR55" s="702"/>
    </row>
    <row r="56" spans="1:44" s="1559" customFormat="1" ht="0.75" customHeight="1">
      <c r="A56" s="1262" t="s">
        <v>161</v>
      </c>
      <c r="B56" s="1262"/>
      <c r="C56" s="1262"/>
      <c r="D56" s="1262"/>
      <c r="E56" s="2076"/>
      <c r="F56" s="1262"/>
      <c r="G56" s="1262"/>
      <c r="H56" s="1262"/>
      <c r="I56" s="1262"/>
      <c r="J56" s="1262"/>
      <c r="K56" s="1262"/>
      <c r="L56" s="1265"/>
      <c r="M56" s="1241"/>
      <c r="N56" s="1241"/>
      <c r="O56" s="444"/>
      <c r="P56" s="308"/>
      <c r="Q56" s="1263"/>
      <c r="R56" s="308"/>
      <c r="S56" s="1242"/>
      <c r="T56" s="1245" t="s">
        <v>435</v>
      </c>
      <c r="U56" s="1244"/>
      <c r="V56" s="1244"/>
      <c r="W56" s="1244"/>
      <c r="X56" s="1244"/>
      <c r="Y56" s="1244"/>
      <c r="Z56" s="1244"/>
      <c r="AA56" s="1244"/>
      <c r="AB56" s="1244"/>
      <c r="AC56" s="1244"/>
      <c r="AD56" s="1244"/>
      <c r="AE56" s="1244"/>
      <c r="AF56" s="1244"/>
      <c r="AG56" s="1244"/>
      <c r="AH56" s="1244"/>
      <c r="AI56" s="1244"/>
      <c r="AJ56" s="1244"/>
      <c r="AK56" s="1244"/>
      <c r="AL56" s="1244"/>
      <c r="AM56" s="1244"/>
      <c r="AO56" s="426"/>
      <c r="AP56" s="426" t="str">
        <f t="shared" si="1"/>
        <v>Добавить территорию для дифференциации</v>
      </c>
      <c r="AQ56" s="426"/>
      <c r="AR56" s="426"/>
    </row>
    <row r="57" spans="1:44" s="1559" customFormat="1" ht="0.75" customHeight="1">
      <c r="A57" s="1234"/>
      <c r="B57" s="1234"/>
      <c r="C57" s="1234"/>
      <c r="D57" s="1234"/>
      <c r="E57" s="1262"/>
      <c r="F57" s="1234"/>
      <c r="G57" s="1234"/>
      <c r="H57" s="1234"/>
      <c r="I57" s="1234"/>
      <c r="J57" s="1234"/>
      <c r="K57" s="1234"/>
      <c r="L57" s="1258"/>
      <c r="M57" s="1241"/>
      <c r="N57" s="1241"/>
      <c r="P57" s="1236"/>
      <c r="Q57" s="1237"/>
      <c r="R57" s="1236"/>
      <c r="S57" s="1242"/>
      <c r="T57" s="1245" t="s">
        <v>436</v>
      </c>
      <c r="U57" s="1244"/>
      <c r="V57" s="1244"/>
      <c r="W57" s="1244"/>
      <c r="X57" s="1244"/>
      <c r="Y57" s="1244"/>
      <c r="Z57" s="1244"/>
      <c r="AA57" s="1244"/>
      <c r="AB57" s="1244"/>
      <c r="AC57" s="1244"/>
      <c r="AD57" s="1244"/>
      <c r="AE57" s="1244"/>
      <c r="AF57" s="1244"/>
      <c r="AG57" s="1244"/>
      <c r="AH57" s="1244"/>
      <c r="AI57" s="1244"/>
      <c r="AJ57" s="1244"/>
      <c r="AK57" s="1244"/>
      <c r="AL57" s="1244"/>
      <c r="AM57" s="1244"/>
      <c r="AO57" s="702"/>
      <c r="AP57" s="702" t="str">
        <f t="shared" si="1"/>
        <v>Добавить наименование тарифа</v>
      </c>
      <c r="AQ57" s="702"/>
      <c r="AR57" s="702"/>
    </row>
    <row r="58" spans="1:44" ht="11.25" hidden="1" customHeight="1">
      <c r="M58" s="1062"/>
      <c r="N58" s="1062"/>
      <c r="O58" s="462"/>
      <c r="P58" s="1057"/>
      <c r="Q58" s="1057"/>
      <c r="R58" s="1057"/>
      <c r="S58" s="1057"/>
      <c r="AN58" s="1057"/>
      <c r="AO58" s="1057"/>
      <c r="AP58" s="1057"/>
      <c r="AQ58" s="1057"/>
      <c r="AR58" s="1057"/>
    </row>
    <row r="59" spans="1:44" ht="27" hidden="1" customHeight="1">
      <c r="O59" s="462"/>
      <c r="S59" s="1166" t="s">
        <v>508</v>
      </c>
      <c r="T59" s="2075" t="s">
        <v>509</v>
      </c>
      <c r="U59" s="2075"/>
      <c r="V59" s="2075"/>
      <c r="W59" s="2075"/>
      <c r="X59" s="2075"/>
      <c r="Y59" s="2075"/>
      <c r="Z59" s="2075"/>
      <c r="AA59" s="2075"/>
      <c r="AB59" s="2075"/>
      <c r="AC59" s="2075"/>
      <c r="AD59" s="2075"/>
      <c r="AE59" s="2075"/>
      <c r="AF59" s="2075"/>
      <c r="AG59" s="2075"/>
      <c r="AH59" s="2075"/>
      <c r="AI59" s="2075"/>
      <c r="AJ59" s="2075"/>
      <c r="AK59" s="2075"/>
      <c r="AL59" s="2075"/>
      <c r="AM59" s="2075"/>
    </row>
    <row r="60" spans="1:44" ht="64.5" hidden="1" customHeight="1">
      <c r="O60" s="462"/>
      <c r="P60" s="1224"/>
      <c r="T60" s="2075" t="s">
        <v>510</v>
      </c>
      <c r="U60" s="2075"/>
      <c r="V60" s="2075"/>
      <c r="W60" s="2075"/>
      <c r="X60" s="2075"/>
      <c r="Y60" s="2075"/>
      <c r="Z60" s="2075"/>
      <c r="AA60" s="2075"/>
      <c r="AB60" s="2075"/>
      <c r="AC60" s="2075"/>
      <c r="AD60" s="2075"/>
      <c r="AE60" s="2075"/>
      <c r="AF60" s="2075"/>
      <c r="AG60" s="2075"/>
      <c r="AH60" s="2075"/>
      <c r="AI60" s="2075"/>
      <c r="AJ60" s="2075"/>
      <c r="AK60" s="2075"/>
      <c r="AL60" s="2075"/>
      <c r="AM60" s="2075"/>
    </row>
    <row r="61" spans="1:44" ht="14.25" hidden="1" customHeight="1">
      <c r="O61" s="462"/>
    </row>
    <row r="62" spans="1:44" ht="18" hidden="1" customHeight="1">
      <c r="O62" s="462"/>
      <c r="P62" s="1247"/>
      <c r="S62" s="1166" t="s">
        <v>508</v>
      </c>
      <c r="T62" s="2075" t="s">
        <v>511</v>
      </c>
      <c r="U62" s="2075"/>
      <c r="V62" s="2075"/>
      <c r="W62" s="2075"/>
      <c r="X62" s="2075"/>
      <c r="Y62" s="2075"/>
      <c r="Z62" s="2075"/>
      <c r="AA62" s="2075"/>
      <c r="AB62" s="2075"/>
      <c r="AC62" s="2075"/>
      <c r="AD62" s="2075"/>
      <c r="AE62" s="2075"/>
      <c r="AF62" s="2075"/>
      <c r="AG62" s="2075"/>
      <c r="AH62" s="2075"/>
      <c r="AI62" s="2075"/>
      <c r="AJ62" s="2075"/>
      <c r="AK62" s="2075"/>
      <c r="AL62" s="2075"/>
      <c r="AM62" s="2075"/>
    </row>
    <row r="63" spans="1:44" ht="18" hidden="1" customHeight="1">
      <c r="O63" s="462"/>
      <c r="P63" s="1247"/>
      <c r="T63" s="2075" t="s">
        <v>512</v>
      </c>
      <c r="U63" s="2075"/>
      <c r="V63" s="2075"/>
      <c r="W63" s="2075"/>
      <c r="X63" s="2075"/>
      <c r="Y63" s="2075"/>
      <c r="Z63" s="2075"/>
      <c r="AA63" s="2075"/>
      <c r="AB63" s="2075"/>
      <c r="AC63" s="2075"/>
      <c r="AD63" s="2075"/>
      <c r="AE63" s="2075"/>
      <c r="AF63" s="2075"/>
      <c r="AG63" s="2075"/>
      <c r="AH63" s="2075"/>
      <c r="AI63" s="2075"/>
      <c r="AJ63" s="2075"/>
      <c r="AK63" s="2075"/>
      <c r="AL63" s="2075"/>
      <c r="AM63" s="2075"/>
    </row>
    <row r="64" spans="1:44" ht="27.75" hidden="1" customHeight="1">
      <c r="O64" s="462"/>
      <c r="P64" s="1247"/>
      <c r="S64" s="1166"/>
      <c r="T64" s="2075" t="s">
        <v>513</v>
      </c>
      <c r="U64" s="2075"/>
      <c r="V64" s="2075"/>
      <c r="W64" s="2075"/>
      <c r="X64" s="2075"/>
      <c r="Y64" s="2075"/>
      <c r="Z64" s="2075"/>
      <c r="AA64" s="2075"/>
      <c r="AB64" s="2075"/>
      <c r="AC64" s="2075"/>
      <c r="AD64" s="2075"/>
      <c r="AE64" s="2075"/>
      <c r="AF64" s="2075"/>
      <c r="AG64" s="2075"/>
      <c r="AH64" s="2075"/>
      <c r="AI64" s="2075"/>
      <c r="AJ64" s="2075"/>
      <c r="AK64" s="2075"/>
      <c r="AL64" s="2075"/>
      <c r="AM64" s="2075"/>
    </row>
  </sheetData>
  <sheetProtection formatColumns="0" formatRows="0" insertRows="0" deleteColumns="0" deleteRows="0" sort="0" autoFilter="0"/>
  <mergeCells count="112">
    <mergeCell ref="V43:AC43"/>
    <mergeCell ref="V44:AC44"/>
    <mergeCell ref="V45:AC45"/>
    <mergeCell ref="V46:AC46"/>
    <mergeCell ref="V47:AC47"/>
    <mergeCell ref="V48:AC48"/>
    <mergeCell ref="AD43:AL43"/>
    <mergeCell ref="AD44:AL44"/>
    <mergeCell ref="AD45:AL45"/>
    <mergeCell ref="AD46:AL46"/>
    <mergeCell ref="AD47:AL47"/>
    <mergeCell ref="AD48:AL48"/>
    <mergeCell ref="S26:AJ26"/>
    <mergeCell ref="S27:AJ27"/>
    <mergeCell ref="S29:T29"/>
    <mergeCell ref="S30:T30"/>
    <mergeCell ref="S31:T31"/>
    <mergeCell ref="S32:T32"/>
    <mergeCell ref="AD31:AJ31"/>
    <mergeCell ref="AD32:AJ32"/>
    <mergeCell ref="AD37:AK37"/>
    <mergeCell ref="AC49:AC50"/>
    <mergeCell ref="AM49:AM51"/>
    <mergeCell ref="AM8:AM10"/>
    <mergeCell ref="K8:K9"/>
    <mergeCell ref="P6:P11"/>
    <mergeCell ref="E43:E56"/>
    <mergeCell ref="F44:F55"/>
    <mergeCell ref="G45:G54"/>
    <mergeCell ref="H46:H53"/>
    <mergeCell ref="V40:V41"/>
    <mergeCell ref="X40:Y40"/>
    <mergeCell ref="V29:AB29"/>
    <mergeCell ref="V30:AB30"/>
    <mergeCell ref="V31:AB31"/>
    <mergeCell ref="V32:AB32"/>
    <mergeCell ref="Q7:Q10"/>
    <mergeCell ref="AH8:AH9"/>
    <mergeCell ref="AI8:AI9"/>
    <mergeCell ref="AJ8:AJ9"/>
    <mergeCell ref="Z8:Z9"/>
    <mergeCell ref="AA8:AA9"/>
    <mergeCell ref="AB8:AB9"/>
    <mergeCell ref="AC8:AC9"/>
    <mergeCell ref="AH17:AH18"/>
    <mergeCell ref="Z40:AB40"/>
    <mergeCell ref="AA41:AB41"/>
    <mergeCell ref="AA42:AB42"/>
    <mergeCell ref="V37:AC37"/>
    <mergeCell ref="S38:AL38"/>
    <mergeCell ref="AM38:AM41"/>
    <mergeCell ref="S39:S41"/>
    <mergeCell ref="T39:T41"/>
    <mergeCell ref="V39:AB39"/>
    <mergeCell ref="AC39:AC41"/>
    <mergeCell ref="AL39:AL41"/>
    <mergeCell ref="AI42:AJ42"/>
    <mergeCell ref="AD39:AJ39"/>
    <mergeCell ref="AK39:AK41"/>
    <mergeCell ref="AD40:AD41"/>
    <mergeCell ref="AE40:AE41"/>
    <mergeCell ref="AF40:AG40"/>
    <mergeCell ref="AH40:AJ40"/>
    <mergeCell ref="AI41:AJ41"/>
    <mergeCell ref="T62:AM62"/>
    <mergeCell ref="T63:AM63"/>
    <mergeCell ref="T64:AM64"/>
    <mergeCell ref="E2:E15"/>
    <mergeCell ref="F3:F14"/>
    <mergeCell ref="G4:G13"/>
    <mergeCell ref="H5:H12"/>
    <mergeCell ref="I6:I11"/>
    <mergeCell ref="J7:J10"/>
    <mergeCell ref="I47:I52"/>
    <mergeCell ref="J48:J51"/>
    <mergeCell ref="K49:K50"/>
    <mergeCell ref="P47:P52"/>
    <mergeCell ref="Q48:Q51"/>
    <mergeCell ref="AH49:AH50"/>
    <mergeCell ref="AI49:AI50"/>
    <mergeCell ref="AJ49:AJ50"/>
    <mergeCell ref="AK49:AK50"/>
    <mergeCell ref="T59:AM59"/>
    <mergeCell ref="W40:W41"/>
    <mergeCell ref="T60:AM60"/>
    <mergeCell ref="Z49:Z50"/>
    <mergeCell ref="AA49:AA50"/>
    <mergeCell ref="AB49:AB50"/>
    <mergeCell ref="V7:AC7"/>
    <mergeCell ref="AD7:AL7"/>
    <mergeCell ref="S34:T34"/>
    <mergeCell ref="V34:AB34"/>
    <mergeCell ref="AD34:AJ34"/>
    <mergeCell ref="S35:T35"/>
    <mergeCell ref="V35:AB35"/>
    <mergeCell ref="AD35:AJ35"/>
    <mergeCell ref="V2:AC2"/>
    <mergeCell ref="AD2:AL2"/>
    <mergeCell ref="V3:AC3"/>
    <mergeCell ref="AD3:AL3"/>
    <mergeCell ref="V4:AC4"/>
    <mergeCell ref="AD4:AL4"/>
    <mergeCell ref="V5:AC5"/>
    <mergeCell ref="AD5:AL5"/>
    <mergeCell ref="V6:AC6"/>
    <mergeCell ref="AD6:AL6"/>
    <mergeCell ref="AI17:AI18"/>
    <mergeCell ref="AJ17:AJ18"/>
    <mergeCell ref="AK17:AK18"/>
    <mergeCell ref="AK8:AK9"/>
    <mergeCell ref="AD29:AJ29"/>
    <mergeCell ref="AD30:AJ30"/>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Y50 AG18 AG50"/>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AR64"/>
  <sheetViews>
    <sheetView showGridLines="0" topLeftCell="P25" zoomScale="90" workbookViewId="0"/>
  </sheetViews>
  <sheetFormatPr defaultColWidth="10.5703125" defaultRowHeight="14.25" customHeight="1"/>
  <cols>
    <col min="1" max="1" width="10.5703125" style="1284" hidden="1"/>
    <col min="2" max="2" width="11" style="1284" hidden="1" customWidth="1"/>
    <col min="3" max="3" width="10.5703125" style="1284" hidden="1"/>
    <col min="4" max="4" width="11.85546875" style="1284" hidden="1" customWidth="1"/>
    <col min="5" max="5" width="10" style="1284" hidden="1" customWidth="1"/>
    <col min="6" max="6" width="8.7109375" style="1284" hidden="1" customWidth="1"/>
    <col min="7" max="7" width="7.5703125" style="1284" hidden="1" customWidth="1"/>
    <col min="8" max="8" width="11.42578125" style="1284" hidden="1" customWidth="1"/>
    <col min="9" max="9" width="12" style="1284" hidden="1" customWidth="1"/>
    <col min="10" max="10" width="9.85546875" style="1284" hidden="1" customWidth="1"/>
    <col min="11" max="11" width="11.42578125" style="1284" hidden="1" customWidth="1"/>
    <col min="12" max="12" width="19.140625" style="1799" hidden="1" customWidth="1"/>
    <col min="13" max="14" width="12.28515625" style="1696" hidden="1" customWidth="1"/>
    <col min="15" max="15" width="23.42578125" style="1696" hidden="1" customWidth="1"/>
    <col min="16" max="16" width="3.7109375" style="1803" customWidth="1"/>
    <col min="17" max="18" width="3.7109375" style="265" customWidth="1"/>
    <col min="19" max="19" width="12.7109375" style="1806" customWidth="1"/>
    <col min="20" max="20" width="32" style="1552" customWidth="1"/>
    <col min="21" max="21" width="0.140625" style="1552" customWidth="1"/>
    <col min="22" max="22" width="24.7109375" style="1552" hidden="1" customWidth="1"/>
    <col min="23" max="23" width="0.140625" style="1552" hidden="1" customWidth="1"/>
    <col min="24" max="25" width="24.7109375" style="1552" hidden="1" customWidth="1"/>
    <col min="26" max="26" width="11.7109375" style="1552" hidden="1" customWidth="1"/>
    <col min="27" max="27" width="3.7109375" style="1552" hidden="1" customWidth="1"/>
    <col min="28" max="28" width="11.7109375" style="1552" hidden="1" customWidth="1"/>
    <col min="29" max="29" width="8.5703125" style="1552" hidden="1" customWidth="1"/>
    <col min="30" max="30" width="24.7109375" style="1552" customWidth="1"/>
    <col min="31" max="31" width="0.140625" style="1552" customWidth="1"/>
    <col min="32" max="33" width="24.7109375" style="1552" customWidth="1"/>
    <col min="34" max="34" width="11.7109375" style="1552" customWidth="1"/>
    <col min="35" max="35" width="3.7109375" style="1552" customWidth="1"/>
    <col min="36" max="36" width="11.7109375" style="1552" customWidth="1"/>
    <col min="37" max="37" width="8.5703125" style="1552" hidden="1" customWidth="1"/>
    <col min="38" max="38" width="4.7109375" style="1552" customWidth="1"/>
    <col min="39" max="39" width="115.7109375" style="1552" customWidth="1"/>
    <col min="40" max="41" width="10.5703125" style="1559"/>
    <col min="42" max="42" width="11.140625" style="1559" customWidth="1"/>
    <col min="43" max="44" width="10.5703125" style="1559"/>
  </cols>
  <sheetData>
    <row r="1" spans="1:44" ht="14.25" hidden="1" customHeight="1">
      <c r="Y1" s="249"/>
      <c r="Z1" s="249"/>
      <c r="AG1" s="249"/>
      <c r="AH1" s="249"/>
    </row>
    <row r="2" spans="1:44" ht="21" hidden="1" customHeight="1">
      <c r="A2" s="1281"/>
      <c r="B2" s="1281"/>
      <c r="C2" s="1281"/>
      <c r="D2" s="1281"/>
      <c r="E2" s="2076">
        <v>1</v>
      </c>
      <c r="F2" s="1281"/>
      <c r="G2" s="1281"/>
      <c r="H2" s="1281"/>
      <c r="I2" s="1281"/>
      <c r="J2" s="1281"/>
      <c r="K2" s="1281"/>
      <c r="L2" s="1282"/>
      <c r="M2" s="1283"/>
      <c r="N2" s="1283"/>
      <c r="O2" s="1283"/>
      <c r="P2" s="282"/>
      <c r="Q2" s="281"/>
      <c r="R2" s="276"/>
      <c r="S2" s="1255" t="e">
        <f>INDEX(PT_DIFFERENTIATION_NUM_NTAR,MATCH(A2,PT_DIFFERENTIATION_NTAR_ID,0))</f>
        <v>#N/A</v>
      </c>
      <c r="T2" s="212" t="s">
        <v>128</v>
      </c>
      <c r="U2" s="214"/>
      <c r="V2" s="2070"/>
      <c r="W2" s="2071"/>
      <c r="X2" s="2071"/>
      <c r="Y2" s="2071"/>
      <c r="Z2" s="2071"/>
      <c r="AA2" s="2071"/>
      <c r="AB2" s="2071"/>
      <c r="AC2" s="2072"/>
      <c r="AD2" s="2070" t="e">
        <f>INDEX(PT_DIFFERENTIATION_NTAR,MATCH(A2,PT_DIFFERENTIATION_NTAR_ID,0))</f>
        <v>#N/A</v>
      </c>
      <c r="AE2" s="2071"/>
      <c r="AF2" s="2071"/>
      <c r="AG2" s="2071"/>
      <c r="AH2" s="2071"/>
      <c r="AI2" s="2071"/>
      <c r="AJ2" s="2071"/>
      <c r="AK2" s="2071"/>
      <c r="AL2" s="2072"/>
      <c r="AM2" s="1179" t="s">
        <v>459</v>
      </c>
      <c r="AO2" s="426"/>
      <c r="AP2" s="426" t="str">
        <f t="shared" ref="AP2:AP15" si="0">IF(T2="","",T2)</f>
        <v>Наименование тарифа</v>
      </c>
      <c r="AQ2" s="426"/>
      <c r="AR2" s="426"/>
    </row>
    <row r="3" spans="1:44" ht="21" hidden="1" customHeight="1">
      <c r="A3" s="1281"/>
      <c r="B3" s="1281"/>
      <c r="C3" s="1281"/>
      <c r="D3" s="1281"/>
      <c r="E3" s="2077"/>
      <c r="F3" s="2076">
        <v>1</v>
      </c>
      <c r="G3" s="1281"/>
      <c r="H3" s="1281"/>
      <c r="I3" s="1281"/>
      <c r="J3" s="1281"/>
      <c r="K3" s="1281"/>
      <c r="L3" s="1282"/>
      <c r="M3" s="1283"/>
      <c r="N3" s="1283"/>
      <c r="O3" s="1283"/>
      <c r="P3" s="1251"/>
      <c r="Q3" s="273"/>
      <c r="R3" s="274"/>
      <c r="S3" s="1255" t="e">
        <f>INDEX(PT_DIFFERENTIATION_NUM_TER,MATCH(B3,PT_DIFFERENTIATION_TER_ID,0))</f>
        <v>#N/A</v>
      </c>
      <c r="T3" s="224" t="s">
        <v>460</v>
      </c>
      <c r="U3" s="214"/>
      <c r="V3" s="2070"/>
      <c r="W3" s="2071"/>
      <c r="X3" s="2071"/>
      <c r="Y3" s="2071"/>
      <c r="Z3" s="2071"/>
      <c r="AA3" s="2071"/>
      <c r="AB3" s="2071"/>
      <c r="AC3" s="2072"/>
      <c r="AD3" s="2070" t="e">
        <f>INDEX(PT_DIFFERENTIATION_TER,MATCH(B3,PT_DIFFERENTIATION_TER_ID,0))</f>
        <v>#N/A</v>
      </c>
      <c r="AE3" s="2071"/>
      <c r="AF3" s="2071"/>
      <c r="AG3" s="2071"/>
      <c r="AH3" s="2071"/>
      <c r="AI3" s="2071"/>
      <c r="AJ3" s="2071"/>
      <c r="AK3" s="2071"/>
      <c r="AL3" s="2072"/>
      <c r="AM3" s="1179" t="s">
        <v>461</v>
      </c>
      <c r="AO3" s="426"/>
      <c r="AP3" s="426" t="str">
        <f t="shared" si="0"/>
        <v>Территория действия тарифа</v>
      </c>
      <c r="AQ3" s="426"/>
      <c r="AR3" s="426"/>
    </row>
    <row r="4" spans="1:44" ht="23.25" hidden="1" customHeight="1">
      <c r="A4" s="1281"/>
      <c r="B4" s="1281"/>
      <c r="C4" s="1281"/>
      <c r="D4" s="1281"/>
      <c r="E4" s="2077"/>
      <c r="F4" s="2077"/>
      <c r="G4" s="2076">
        <v>1</v>
      </c>
      <c r="H4" s="1281"/>
      <c r="I4" s="1281"/>
      <c r="J4" s="1281"/>
      <c r="K4" s="1281"/>
      <c r="L4" s="1282"/>
      <c r="M4" s="1283"/>
      <c r="N4" s="1283"/>
      <c r="O4" s="1283"/>
      <c r="P4" s="275"/>
      <c r="Q4" s="273"/>
      <c r="R4" s="274"/>
      <c r="S4" s="1255" t="e">
        <f>INDEX(PT_DIFFERENTIATION_NUM_CS,MATCH(C4,PT_DIFFERENTIATION_CS_ID,0))</f>
        <v>#N/A</v>
      </c>
      <c r="T4" s="225" t="s">
        <v>462</v>
      </c>
      <c r="U4" s="214"/>
      <c r="V4" s="2070"/>
      <c r="W4" s="2071"/>
      <c r="X4" s="2071"/>
      <c r="Y4" s="2071"/>
      <c r="Z4" s="2071"/>
      <c r="AA4" s="2071"/>
      <c r="AB4" s="2071"/>
      <c r="AC4" s="2072"/>
      <c r="AD4" s="2070" t="e">
        <f>INDEX(PT_DIFFERENTIATION_CS,MATCH(C4,PT_DIFFERENTIATION_CS_ID,0))</f>
        <v>#N/A</v>
      </c>
      <c r="AE4" s="2071"/>
      <c r="AF4" s="2071"/>
      <c r="AG4" s="2071"/>
      <c r="AH4" s="2071"/>
      <c r="AI4" s="2071"/>
      <c r="AJ4" s="2071"/>
      <c r="AK4" s="2071"/>
      <c r="AL4" s="2072"/>
      <c r="AM4" s="1179" t="s">
        <v>463</v>
      </c>
      <c r="AO4" s="426"/>
      <c r="AP4" s="426" t="str">
        <f t="shared" si="0"/>
        <v xml:space="preserve">Наименование системы теплоснабжения </v>
      </c>
      <c r="AQ4" s="426"/>
      <c r="AR4" s="426"/>
    </row>
    <row r="5" spans="1:44" ht="21" hidden="1" customHeight="1">
      <c r="A5" s="1281"/>
      <c r="B5" s="1281"/>
      <c r="C5" s="1281"/>
      <c r="D5" s="1281"/>
      <c r="E5" s="2077"/>
      <c r="F5" s="2077"/>
      <c r="G5" s="2077"/>
      <c r="H5" s="2076">
        <v>1</v>
      </c>
      <c r="I5" s="1281"/>
      <c r="J5" s="1281"/>
      <c r="K5" s="1281"/>
      <c r="L5" s="1282"/>
      <c r="M5" s="1283"/>
      <c r="N5" s="1283"/>
      <c r="O5" s="1283"/>
      <c r="P5" s="275"/>
      <c r="Q5" s="273"/>
      <c r="R5" s="274"/>
      <c r="S5" s="1255" t="e">
        <f>INDEX(PT_DIFFERENTIATION_NUM_IST_TE,MATCH(D5,PT_DIFFERENTIATION_IST_TE_ID,0))</f>
        <v>#N/A</v>
      </c>
      <c r="T5" s="226" t="s">
        <v>464</v>
      </c>
      <c r="U5" s="214"/>
      <c r="V5" s="2070"/>
      <c r="W5" s="2071"/>
      <c r="X5" s="2071"/>
      <c r="Y5" s="2071"/>
      <c r="Z5" s="2071"/>
      <c r="AA5" s="2071"/>
      <c r="AB5" s="2071"/>
      <c r="AC5" s="2072"/>
      <c r="AD5" s="2070" t="e">
        <f>INDEX(PT_DIFFERENTIATION_IST_TE,MATCH(D5,PT_DIFFERENTIATION_IST_TE_ID,0))</f>
        <v>#N/A</v>
      </c>
      <c r="AE5" s="2071"/>
      <c r="AF5" s="2071"/>
      <c r="AG5" s="2071"/>
      <c r="AH5" s="2071"/>
      <c r="AI5" s="2071"/>
      <c r="AJ5" s="2071"/>
      <c r="AK5" s="2071"/>
      <c r="AL5" s="2072"/>
      <c r="AM5" s="1179" t="s">
        <v>465</v>
      </c>
      <c r="AO5" s="426"/>
      <c r="AP5" s="426" t="str">
        <f t="shared" si="0"/>
        <v xml:space="preserve">Источник тепловой энергии  </v>
      </c>
      <c r="AQ5" s="426"/>
      <c r="AR5" s="426"/>
    </row>
    <row r="6" spans="1:44" ht="47.25" hidden="1" customHeight="1">
      <c r="A6" s="1281"/>
      <c r="B6" s="1281"/>
      <c r="C6" s="1281"/>
      <c r="D6" s="1281"/>
      <c r="E6" s="2077"/>
      <c r="F6" s="2077"/>
      <c r="G6" s="2077"/>
      <c r="H6" s="2077"/>
      <c r="I6" s="2078" t="e">
        <f>S5&amp;".1"</f>
        <v>#N/A</v>
      </c>
      <c r="J6" s="1281"/>
      <c r="K6" s="1281"/>
      <c r="L6" s="1282" t="s">
        <v>466</v>
      </c>
      <c r="M6" s="462"/>
      <c r="P6" s="1995">
        <v>1</v>
      </c>
      <c r="Q6" s="1250"/>
      <c r="R6" s="277"/>
      <c r="S6" s="1255" t="e">
        <f>$I6</f>
        <v>#N/A</v>
      </c>
      <c r="T6" s="200" t="s">
        <v>467</v>
      </c>
      <c r="U6" s="214"/>
      <c r="V6" s="2064"/>
      <c r="W6" s="2065"/>
      <c r="X6" s="2065"/>
      <c r="Y6" s="2065"/>
      <c r="Z6" s="2065"/>
      <c r="AA6" s="2065"/>
      <c r="AB6" s="2065"/>
      <c r="AC6" s="2066"/>
      <c r="AD6" s="2064"/>
      <c r="AE6" s="2065"/>
      <c r="AF6" s="2065"/>
      <c r="AG6" s="2065"/>
      <c r="AH6" s="2065"/>
      <c r="AI6" s="2065"/>
      <c r="AJ6" s="2065"/>
      <c r="AK6" s="2065"/>
      <c r="AL6" s="2066"/>
      <c r="AM6" s="1179" t="s">
        <v>468</v>
      </c>
      <c r="AO6" s="426"/>
      <c r="AP6" s="426" t="str">
        <f t="shared" si="0"/>
        <v>Схема подключения теплопотребляющей установки к коллектору источника тепловой энергии</v>
      </c>
      <c r="AQ6" s="426"/>
      <c r="AR6" s="426"/>
    </row>
    <row r="7" spans="1:44" ht="21" hidden="1" customHeight="1">
      <c r="A7" s="1281"/>
      <c r="B7" s="1281"/>
      <c r="C7" s="1281"/>
      <c r="D7" s="1281"/>
      <c r="E7" s="2077"/>
      <c r="F7" s="2077"/>
      <c r="G7" s="2077"/>
      <c r="H7" s="2077"/>
      <c r="I7" s="2079"/>
      <c r="J7" s="2078" t="e">
        <f>I6&amp;".1"</f>
        <v>#N/A</v>
      </c>
      <c r="K7" s="1281"/>
      <c r="L7" s="1282" t="s">
        <v>469</v>
      </c>
      <c r="M7" s="462"/>
      <c r="N7" s="1284"/>
      <c r="P7" s="1995"/>
      <c r="Q7" s="1995">
        <v>1</v>
      </c>
      <c r="R7" s="278"/>
      <c r="S7" s="1255" t="e">
        <f>$J7</f>
        <v>#N/A</v>
      </c>
      <c r="T7" s="201" t="s">
        <v>470</v>
      </c>
      <c r="U7" s="214"/>
      <c r="V7" s="2064"/>
      <c r="W7" s="2065"/>
      <c r="X7" s="2065"/>
      <c r="Y7" s="2065"/>
      <c r="Z7" s="2065"/>
      <c r="AA7" s="2065"/>
      <c r="AB7" s="2065"/>
      <c r="AC7" s="2066"/>
      <c r="AD7" s="2064"/>
      <c r="AE7" s="2065"/>
      <c r="AF7" s="2065"/>
      <c r="AG7" s="2065"/>
      <c r="AH7" s="2065"/>
      <c r="AI7" s="2065"/>
      <c r="AJ7" s="2065"/>
      <c r="AK7" s="2065"/>
      <c r="AL7" s="2066"/>
      <c r="AM7" s="1179" t="s">
        <v>471</v>
      </c>
      <c r="AO7" s="426"/>
      <c r="AP7" s="426" t="str">
        <f t="shared" si="0"/>
        <v>Группа потребителей</v>
      </c>
      <c r="AQ7" s="426"/>
      <c r="AR7" s="426"/>
    </row>
    <row r="8" spans="1:44" ht="21" hidden="1" customHeight="1">
      <c r="A8" s="1281"/>
      <c r="B8" s="1281"/>
      <c r="C8" s="1281"/>
      <c r="D8" s="1281"/>
      <c r="E8" s="2077"/>
      <c r="F8" s="2077"/>
      <c r="G8" s="2077"/>
      <c r="H8" s="2077"/>
      <c r="I8" s="2079"/>
      <c r="J8" s="2079"/>
      <c r="K8" s="2078" t="e">
        <f>J7&amp;".1"</f>
        <v>#N/A</v>
      </c>
      <c r="L8" s="1282" t="s">
        <v>472</v>
      </c>
      <c r="M8" s="462"/>
      <c r="N8" s="1284"/>
      <c r="O8" s="1284"/>
      <c r="P8" s="1995"/>
      <c r="Q8" s="1995"/>
      <c r="R8" s="278">
        <v>1</v>
      </c>
      <c r="S8" s="1255" t="e">
        <f>$K8</f>
        <v>#N/A</v>
      </c>
      <c r="T8" s="1266"/>
      <c r="U8" s="214"/>
      <c r="V8" s="664"/>
      <c r="W8" s="246"/>
      <c r="X8" s="664"/>
      <c r="Y8" s="1178"/>
      <c r="Z8" s="2080"/>
      <c r="AA8" s="1885" t="s">
        <v>59</v>
      </c>
      <c r="AB8" s="2080"/>
      <c r="AC8" s="1885" t="s">
        <v>59</v>
      </c>
      <c r="AD8" s="664"/>
      <c r="AE8" s="246"/>
      <c r="AF8" s="664"/>
      <c r="AG8" s="1178"/>
      <c r="AH8" s="2080"/>
      <c r="AI8" s="1885" t="s">
        <v>59</v>
      </c>
      <c r="AJ8" s="2080"/>
      <c r="AK8" s="1885" t="s">
        <v>59</v>
      </c>
      <c r="AL8" s="246"/>
      <c r="AM8" s="2098" t="s">
        <v>473</v>
      </c>
      <c r="AN8" s="437" t="e">
        <f ca="1">STRCHECKDATE(V9:AL9)</f>
        <v>#NAME?</v>
      </c>
      <c r="AO8" s="426"/>
      <c r="AP8" s="426" t="str">
        <f t="shared" si="0"/>
        <v/>
      </c>
      <c r="AQ8" s="426"/>
      <c r="AR8" s="426"/>
    </row>
    <row r="9" spans="1:44" ht="0.75" hidden="1" customHeight="1">
      <c r="A9" s="1281"/>
      <c r="B9" s="1281"/>
      <c r="C9" s="1281"/>
      <c r="D9" s="1281"/>
      <c r="E9" s="2077"/>
      <c r="F9" s="2077"/>
      <c r="G9" s="2077"/>
      <c r="H9" s="2077"/>
      <c r="I9" s="2079"/>
      <c r="J9" s="2079"/>
      <c r="K9" s="2078"/>
      <c r="L9" s="1282"/>
      <c r="M9" s="462"/>
      <c r="N9" s="1284"/>
      <c r="O9" s="1284"/>
      <c r="P9" s="1995"/>
      <c r="Q9" s="1995"/>
      <c r="R9" s="278"/>
      <c r="S9" s="1261"/>
      <c r="T9" s="214"/>
      <c r="U9" s="214"/>
      <c r="V9" s="246"/>
      <c r="W9" s="246"/>
      <c r="X9" s="246"/>
      <c r="Y9" s="250" t="str">
        <f>Z8&amp;"-"&amp;AB8</f>
        <v>-</v>
      </c>
      <c r="Z9" s="2081"/>
      <c r="AA9" s="1885"/>
      <c r="AB9" s="2081"/>
      <c r="AC9" s="1885"/>
      <c r="AD9" s="246"/>
      <c r="AE9" s="246"/>
      <c r="AF9" s="246"/>
      <c r="AG9" s="250" t="str">
        <f>AH8&amp;"-"&amp;AJ8</f>
        <v>-</v>
      </c>
      <c r="AH9" s="2081"/>
      <c r="AI9" s="1885"/>
      <c r="AJ9" s="2081"/>
      <c r="AK9" s="1885"/>
      <c r="AL9" s="246"/>
      <c r="AM9" s="2099"/>
      <c r="AO9" s="426"/>
      <c r="AP9" s="426" t="str">
        <f t="shared" si="0"/>
        <v/>
      </c>
      <c r="AQ9" s="426"/>
      <c r="AR9" s="426"/>
    </row>
    <row r="10" spans="1:44" ht="15" hidden="1" customHeight="1">
      <c r="A10" s="1281"/>
      <c r="B10" s="1281"/>
      <c r="C10" s="1281"/>
      <c r="D10" s="1281"/>
      <c r="E10" s="2077"/>
      <c r="F10" s="2077"/>
      <c r="G10" s="2077"/>
      <c r="H10" s="2077"/>
      <c r="I10" s="2079"/>
      <c r="J10" s="2078"/>
      <c r="K10" s="1281"/>
      <c r="L10" s="1282"/>
      <c r="M10" s="462"/>
      <c r="N10" s="1284"/>
      <c r="P10" s="1995"/>
      <c r="Q10" s="1995"/>
      <c r="R10" s="277"/>
      <c r="S10" s="1200"/>
      <c r="T10" s="203" t="s">
        <v>474</v>
      </c>
      <c r="U10" s="291"/>
      <c r="V10" s="291"/>
      <c r="W10" s="291"/>
      <c r="X10" s="291"/>
      <c r="Y10" s="291"/>
      <c r="Z10" s="291"/>
      <c r="AA10" s="291"/>
      <c r="AB10" s="291"/>
      <c r="AC10" s="291"/>
      <c r="AD10" s="291"/>
      <c r="AE10" s="291"/>
      <c r="AF10" s="291"/>
      <c r="AG10" s="291"/>
      <c r="AH10" s="291"/>
      <c r="AI10" s="291"/>
      <c r="AJ10" s="291"/>
      <c r="AK10" s="291"/>
      <c r="AL10" s="245"/>
      <c r="AM10" s="2100"/>
      <c r="AO10" s="426"/>
      <c r="AP10" s="426" t="str">
        <f t="shared" si="0"/>
        <v>Добавить вид теплоносителя (параметры теплоносителя)</v>
      </c>
      <c r="AQ10" s="426"/>
      <c r="AR10" s="426"/>
    </row>
    <row r="11" spans="1:44" ht="15" hidden="1" customHeight="1">
      <c r="A11" s="1281"/>
      <c r="B11" s="1281"/>
      <c r="C11" s="1281"/>
      <c r="D11" s="1281"/>
      <c r="E11" s="2077"/>
      <c r="F11" s="2077"/>
      <c r="G11" s="2077"/>
      <c r="H11" s="2077"/>
      <c r="I11" s="2078"/>
      <c r="J11" s="1281"/>
      <c r="K11" s="1281"/>
      <c r="L11" s="1282"/>
      <c r="M11" s="462"/>
      <c r="P11" s="1995"/>
      <c r="Q11" s="1250"/>
      <c r="R11" s="277"/>
      <c r="S11" s="1200"/>
      <c r="T11" s="202" t="s">
        <v>475</v>
      </c>
      <c r="U11" s="291"/>
      <c r="V11" s="291"/>
      <c r="W11" s="291"/>
      <c r="X11" s="291"/>
      <c r="Y11" s="291"/>
      <c r="Z11" s="291"/>
      <c r="AA11" s="291"/>
      <c r="AB11" s="291"/>
      <c r="AC11" s="290"/>
      <c r="AD11" s="291"/>
      <c r="AE11" s="291"/>
      <c r="AF11" s="291"/>
      <c r="AG11" s="291"/>
      <c r="AH11" s="291"/>
      <c r="AI11" s="291"/>
      <c r="AJ11" s="291"/>
      <c r="AK11" s="290"/>
      <c r="AL11" s="291"/>
      <c r="AM11" s="217"/>
      <c r="AO11" s="426"/>
      <c r="AP11" s="426" t="str">
        <f t="shared" si="0"/>
        <v>Добавить группу потребителей</v>
      </c>
      <c r="AQ11" s="426"/>
      <c r="AR11" s="426"/>
    </row>
    <row r="12" spans="1:44" ht="14.25" hidden="1" customHeight="1">
      <c r="A12" s="1281"/>
      <c r="B12" s="1281"/>
      <c r="C12" s="1281"/>
      <c r="D12" s="1281"/>
      <c r="E12" s="2077"/>
      <c r="F12" s="2077"/>
      <c r="G12" s="2077"/>
      <c r="H12" s="2076"/>
      <c r="I12" s="1281"/>
      <c r="J12" s="1281"/>
      <c r="K12" s="1281"/>
      <c r="L12" s="1282"/>
      <c r="M12" s="1283"/>
      <c r="N12" s="1283"/>
      <c r="O12" s="462"/>
      <c r="P12" s="281"/>
      <c r="Q12" s="299"/>
      <c r="R12" s="276"/>
      <c r="S12" s="1200"/>
      <c r="T12" s="288" t="s">
        <v>476</v>
      </c>
      <c r="U12" s="291"/>
      <c r="V12" s="291"/>
      <c r="W12" s="291"/>
      <c r="X12" s="291"/>
      <c r="Y12" s="291"/>
      <c r="Z12" s="291"/>
      <c r="AA12" s="291"/>
      <c r="AB12" s="291"/>
      <c r="AC12" s="290"/>
      <c r="AD12" s="291"/>
      <c r="AE12" s="291"/>
      <c r="AF12" s="291"/>
      <c r="AG12" s="291"/>
      <c r="AH12" s="291"/>
      <c r="AI12" s="291"/>
      <c r="AJ12" s="291"/>
      <c r="AK12" s="290"/>
      <c r="AL12" s="291"/>
      <c r="AM12" s="217"/>
      <c r="AO12" s="426"/>
      <c r="AP12" s="426" t="str">
        <f t="shared" si="0"/>
        <v>Добавить схему подключения</v>
      </c>
      <c r="AQ12" s="426"/>
      <c r="AR12" s="426"/>
    </row>
    <row r="13" spans="1:44" s="1559" customFormat="1" ht="0.75" hidden="1" customHeight="1">
      <c r="A13" s="1234"/>
      <c r="B13" s="1234"/>
      <c r="C13" s="1234"/>
      <c r="D13" s="1234"/>
      <c r="E13" s="2077"/>
      <c r="F13" s="2077"/>
      <c r="G13" s="2076"/>
      <c r="H13" s="1234"/>
      <c r="I13" s="1234"/>
      <c r="J13" s="1234"/>
      <c r="K13" s="1234"/>
      <c r="L13" s="1258"/>
      <c r="M13" s="1235"/>
      <c r="N13" s="1235"/>
      <c r="P13" s="1236"/>
      <c r="Q13" s="1237"/>
      <c r="R13" s="1236"/>
      <c r="S13" s="1238"/>
      <c r="T13" s="1239" t="s">
        <v>433</v>
      </c>
      <c r="U13" s="1240"/>
      <c r="V13" s="1240"/>
      <c r="W13" s="1240"/>
      <c r="X13" s="1240"/>
      <c r="Y13" s="1240"/>
      <c r="Z13" s="1240"/>
      <c r="AA13" s="1240"/>
      <c r="AB13" s="1240"/>
      <c r="AC13" s="1240"/>
      <c r="AD13" s="1240"/>
      <c r="AE13" s="1240"/>
      <c r="AF13" s="1240"/>
      <c r="AG13" s="1240"/>
      <c r="AH13" s="1240"/>
      <c r="AI13" s="1240"/>
      <c r="AJ13" s="1240"/>
      <c r="AK13" s="1240"/>
      <c r="AL13" s="1240"/>
      <c r="AM13" s="1240"/>
      <c r="AO13" s="702"/>
      <c r="AP13" s="702" t="str">
        <f t="shared" si="0"/>
        <v>Добавить источник для дифференциации</v>
      </c>
      <c r="AQ13" s="702"/>
      <c r="AR13" s="702"/>
    </row>
    <row r="14" spans="1:44" s="1559" customFormat="1" ht="0.75" hidden="1" customHeight="1">
      <c r="A14" s="1234"/>
      <c r="B14" s="1234"/>
      <c r="C14" s="1234"/>
      <c r="D14" s="1234"/>
      <c r="E14" s="2077"/>
      <c r="F14" s="2076"/>
      <c r="G14" s="1234"/>
      <c r="H14" s="1234"/>
      <c r="I14" s="1234"/>
      <c r="J14" s="1234"/>
      <c r="K14" s="1234"/>
      <c r="L14" s="1258"/>
      <c r="M14" s="1241"/>
      <c r="N14" s="1241"/>
      <c r="P14" s="1236"/>
      <c r="Q14" s="1237"/>
      <c r="R14" s="1236"/>
      <c r="S14" s="1242"/>
      <c r="T14" s="1243" t="s">
        <v>434</v>
      </c>
      <c r="U14" s="1244"/>
      <c r="V14" s="1244"/>
      <c r="W14" s="1244"/>
      <c r="X14" s="1244"/>
      <c r="Y14" s="1244"/>
      <c r="Z14" s="1244"/>
      <c r="AA14" s="1244"/>
      <c r="AB14" s="1244"/>
      <c r="AC14" s="1244"/>
      <c r="AD14" s="1244"/>
      <c r="AE14" s="1244"/>
      <c r="AF14" s="1244"/>
      <c r="AG14" s="1244"/>
      <c r="AH14" s="1244"/>
      <c r="AI14" s="1244"/>
      <c r="AJ14" s="1244"/>
      <c r="AK14" s="1244"/>
      <c r="AL14" s="1244"/>
      <c r="AM14" s="1244"/>
      <c r="AO14" s="702"/>
      <c r="AP14" s="702" t="str">
        <f t="shared" si="0"/>
        <v>Добавить централизованную систему для дифференциации</v>
      </c>
      <c r="AQ14" s="702"/>
      <c r="AR14" s="702"/>
    </row>
    <row r="15" spans="1:44" s="1559" customFormat="1" ht="0.75" hidden="1" customHeight="1">
      <c r="A15" s="1234"/>
      <c r="B15" s="1234"/>
      <c r="C15" s="1234"/>
      <c r="D15" s="1234"/>
      <c r="E15" s="2076"/>
      <c r="F15" s="1234"/>
      <c r="G15" s="1234"/>
      <c r="H15" s="1234"/>
      <c r="I15" s="1234"/>
      <c r="J15" s="1234"/>
      <c r="K15" s="1234"/>
      <c r="L15" s="1258"/>
      <c r="M15" s="1241"/>
      <c r="N15" s="1241"/>
      <c r="P15" s="1236"/>
      <c r="Q15" s="1237"/>
      <c r="R15" s="1236"/>
      <c r="S15" s="1242"/>
      <c r="T15" s="1245" t="s">
        <v>435</v>
      </c>
      <c r="U15" s="1244"/>
      <c r="V15" s="1244"/>
      <c r="W15" s="1244"/>
      <c r="X15" s="1244"/>
      <c r="Y15" s="1244"/>
      <c r="Z15" s="1244"/>
      <c r="AA15" s="1244"/>
      <c r="AB15" s="1244"/>
      <c r="AC15" s="1244"/>
      <c r="AD15" s="1244"/>
      <c r="AE15" s="1244"/>
      <c r="AF15" s="1244"/>
      <c r="AG15" s="1244"/>
      <c r="AH15" s="1244"/>
      <c r="AI15" s="1244"/>
      <c r="AJ15" s="1244"/>
      <c r="AK15" s="1244"/>
      <c r="AL15" s="1244"/>
      <c r="AM15" s="1244"/>
      <c r="AO15" s="702"/>
      <c r="AP15" s="702" t="str">
        <f t="shared" si="0"/>
        <v>Добавить территорию для дифференциации</v>
      </c>
      <c r="AQ15" s="702"/>
      <c r="AR15" s="702"/>
    </row>
    <row r="16" spans="1:44" ht="14.25" hidden="1" customHeight="1">
      <c r="AC16" s="249"/>
      <c r="AK16" s="249"/>
    </row>
    <row r="17" spans="1:44" ht="14.25" hidden="1" customHeight="1">
      <c r="AD17" s="1278"/>
      <c r="AE17" s="1278"/>
      <c r="AF17" s="1278"/>
      <c r="AG17" s="1279"/>
      <c r="AH17" s="2074"/>
      <c r="AI17" s="2073" t="s">
        <v>59</v>
      </c>
      <c r="AJ17" s="2074"/>
      <c r="AK17" s="2073" t="s">
        <v>59</v>
      </c>
    </row>
    <row r="18" spans="1:44" ht="14.25" hidden="1" customHeight="1">
      <c r="AD18" s="1278"/>
      <c r="AE18" s="1278"/>
      <c r="AF18" s="1278"/>
      <c r="AG18" s="250" t="str">
        <f>AH17&amp;"-"&amp;AJ17</f>
        <v>-</v>
      </c>
      <c r="AH18" s="2073"/>
      <c r="AI18" s="2073"/>
      <c r="AJ18" s="2073"/>
      <c r="AK18" s="2073"/>
    </row>
    <row r="19" spans="1:44" ht="14.25" hidden="1" customHeight="1">
      <c r="AK19" s="249"/>
    </row>
    <row r="20" spans="1:44" s="1284" customFormat="1" ht="22.5" hidden="1" customHeight="1">
      <c r="L20" s="1248"/>
      <c r="M20" s="1280"/>
      <c r="N20" s="1280"/>
      <c r="O20" s="1285" t="s">
        <v>477</v>
      </c>
      <c r="P20" s="1280"/>
      <c r="Q20" s="1289"/>
      <c r="R20" s="1289"/>
      <c r="S20" s="645"/>
      <c r="Z20" s="1285"/>
      <c r="AB20" s="1285"/>
      <c r="AH20" s="1285"/>
      <c r="AJ20" s="1285"/>
      <c r="AN20" s="437"/>
      <c r="AO20" s="437"/>
      <c r="AP20" s="437"/>
      <c r="AQ20" s="437"/>
      <c r="AR20" s="437"/>
    </row>
    <row r="21" spans="1:44" s="1284" customFormat="1" ht="14.25" hidden="1" customHeight="1">
      <c r="L21" s="1248"/>
      <c r="M21" s="1280"/>
      <c r="N21" s="1280"/>
      <c r="O21" s="1280"/>
      <c r="P21" s="1280"/>
      <c r="Q21" s="1289"/>
      <c r="R21" s="1289"/>
      <c r="S21" s="645"/>
      <c r="AN21" s="437"/>
      <c r="AO21" s="437"/>
      <c r="AP21" s="437"/>
      <c r="AQ21" s="437"/>
      <c r="AR21" s="437"/>
    </row>
    <row r="22" spans="1:44" s="1284" customFormat="1" ht="14.25" hidden="1" customHeight="1">
      <c r="L22" s="1248"/>
      <c r="M22" s="1280"/>
      <c r="N22" s="1280"/>
      <c r="O22" s="1282" t="s">
        <v>478</v>
      </c>
      <c r="P22" s="1280"/>
      <c r="Q22" s="1289"/>
      <c r="R22" s="1289"/>
      <c r="S22" s="645"/>
      <c r="T22" s="1062" t="s">
        <v>479</v>
      </c>
      <c r="AA22" s="104" t="s">
        <v>480</v>
      </c>
      <c r="AC22" s="104" t="s">
        <v>481</v>
      </c>
      <c r="AD22" s="1062" t="s">
        <v>479</v>
      </c>
      <c r="AI22" s="104" t="s">
        <v>482</v>
      </c>
      <c r="AK22" s="104" t="s">
        <v>481</v>
      </c>
      <c r="AN22" s="437"/>
      <c r="AO22" s="437"/>
      <c r="AP22" s="437"/>
      <c r="AQ22" s="437"/>
      <c r="AR22" s="437"/>
    </row>
    <row r="23" spans="1:44" ht="14.25" hidden="1" customHeight="1">
      <c r="O23" s="1282"/>
    </row>
    <row r="24" spans="1:44" ht="14.25" hidden="1" customHeight="1">
      <c r="O24" s="1282"/>
    </row>
    <row r="25" spans="1:44" ht="14.25" customHeight="1">
      <c r="Q25" s="300"/>
      <c r="R25" s="300"/>
      <c r="S25" s="1197"/>
      <c r="T25" s="286"/>
      <c r="U25" s="286"/>
      <c r="V25" s="435"/>
      <c r="W25" s="435"/>
      <c r="X25" s="435"/>
      <c r="Y25" s="435"/>
      <c r="Z25" s="435"/>
      <c r="AA25" s="435"/>
      <c r="AB25" s="435"/>
      <c r="AC25" s="435"/>
      <c r="AD25" s="435"/>
      <c r="AE25" s="435"/>
      <c r="AF25" s="435"/>
      <c r="AG25" s="435"/>
      <c r="AH25" s="435"/>
      <c r="AI25" s="435"/>
      <c r="AJ25" s="435"/>
      <c r="AK25" s="435"/>
    </row>
    <row r="26" spans="1:44" ht="64.5" customHeight="1">
      <c r="Q26" s="300"/>
      <c r="R26" s="300"/>
      <c r="S26" s="2101"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101"/>
      <c r="U26" s="2101"/>
      <c r="V26" s="2101"/>
      <c r="W26" s="2101"/>
      <c r="X26" s="2101"/>
      <c r="Y26" s="2101"/>
      <c r="Z26" s="2101"/>
      <c r="AA26" s="2101"/>
      <c r="AB26" s="2101"/>
      <c r="AC26" s="2101"/>
      <c r="AD26" s="2101"/>
      <c r="AE26" s="2101"/>
      <c r="AF26" s="2101"/>
      <c r="AG26" s="2101"/>
      <c r="AH26" s="2101"/>
      <c r="AI26" s="2101"/>
      <c r="AJ26" s="2101"/>
      <c r="AK26" s="1154"/>
    </row>
    <row r="27" spans="1:44" ht="14.25" customHeight="1">
      <c r="Q27" s="300"/>
      <c r="R27" s="300"/>
      <c r="S27" s="1961" t="str">
        <f>IF(org=0,"Не определено",org)</f>
        <v>АО СЗ "КМАпроектжилстрой"</v>
      </c>
      <c r="T27" s="1961"/>
      <c r="U27" s="1961"/>
      <c r="V27" s="1961"/>
      <c r="W27" s="1961"/>
      <c r="X27" s="1961"/>
      <c r="Y27" s="1961"/>
      <c r="Z27" s="1961"/>
      <c r="AA27" s="1961"/>
      <c r="AB27" s="1961"/>
      <c r="AC27" s="1961"/>
      <c r="AD27" s="1961"/>
      <c r="AE27" s="1961"/>
      <c r="AF27" s="1961"/>
      <c r="AG27" s="1961"/>
      <c r="AH27" s="1961"/>
      <c r="AI27" s="1961"/>
      <c r="AJ27" s="1961"/>
      <c r="AK27" s="1154"/>
    </row>
    <row r="28" spans="1:44" ht="14.25" hidden="1" customHeight="1">
      <c r="Q28" s="300"/>
      <c r="R28" s="300"/>
      <c r="S28" s="1197"/>
      <c r="T28" s="286"/>
      <c r="U28" s="286"/>
      <c r="V28" s="242"/>
      <c r="W28" s="242"/>
      <c r="X28" s="242"/>
      <c r="Y28" s="242"/>
      <c r="Z28" s="242"/>
      <c r="AA28" s="242"/>
      <c r="AB28" s="242"/>
      <c r="AC28" s="242"/>
      <c r="AD28" s="242"/>
      <c r="AE28" s="242"/>
      <c r="AF28" s="242"/>
      <c r="AG28" s="242"/>
      <c r="AH28" s="242"/>
      <c r="AI28" s="242"/>
      <c r="AJ28" s="242"/>
      <c r="AK28" s="242"/>
      <c r="AL28" s="435"/>
    </row>
    <row r="29" spans="1:44" s="1773" customFormat="1" ht="25.5" hidden="1" customHeight="1">
      <c r="A29" s="1286"/>
      <c r="B29" s="1286"/>
      <c r="C29" s="1286"/>
      <c r="D29" s="1286"/>
      <c r="E29" s="1286"/>
      <c r="F29" s="1286"/>
      <c r="G29" s="1286"/>
      <c r="H29" s="1286"/>
      <c r="I29" s="1286"/>
      <c r="J29" s="1286"/>
      <c r="K29" s="1286"/>
      <c r="L29" s="1287"/>
      <c r="M29" s="1286"/>
      <c r="N29" s="1286"/>
      <c r="O29" s="1286"/>
      <c r="S29" s="2067" t="s">
        <v>40</v>
      </c>
      <c r="T29" s="2067"/>
      <c r="U29" s="1290"/>
      <c r="V29" s="2069" t="str">
        <f>IF(TITLE_NAME_OR_PR_CHANGE="",IF(TITLE_NAME_OR_PR="","",TITLE_NAME_OR_PR),TITLE_NAME_OR_PR_CHANGE)</f>
        <v/>
      </c>
      <c r="W29" s="2069"/>
      <c r="X29" s="2069"/>
      <c r="Y29" s="2069"/>
      <c r="Z29" s="2069"/>
      <c r="AA29" s="2069"/>
      <c r="AB29" s="2069"/>
      <c r="AC29" s="248"/>
      <c r="AD29" s="2069" t="str">
        <f>IF(TITLE_NAME_OR_PR_CHANGE="",IF(TITLE_NAME_OR_PR="","",TITLE_NAME_OR_PR),TITLE_NAME_OR_PR_CHANGE)</f>
        <v/>
      </c>
      <c r="AE29" s="2069"/>
      <c r="AF29" s="2069"/>
      <c r="AG29" s="2069"/>
      <c r="AH29" s="2069"/>
      <c r="AI29" s="2069"/>
      <c r="AJ29" s="2069"/>
      <c r="AK29" s="248"/>
      <c r="AL29" s="248"/>
      <c r="AM29" s="196"/>
      <c r="AN29" s="292"/>
      <c r="AO29" s="292"/>
      <c r="AP29" s="292"/>
      <c r="AQ29" s="292"/>
      <c r="AR29" s="292"/>
    </row>
    <row r="30" spans="1:44" s="1773" customFormat="1" ht="18.75" hidden="1" customHeight="1">
      <c r="A30" s="1286"/>
      <c r="B30" s="1286"/>
      <c r="C30" s="1286"/>
      <c r="D30" s="1286"/>
      <c r="E30" s="1286"/>
      <c r="F30" s="1286"/>
      <c r="G30" s="1286"/>
      <c r="H30" s="1286"/>
      <c r="I30" s="1286"/>
      <c r="J30" s="1286"/>
      <c r="K30" s="1286"/>
      <c r="L30" s="1287"/>
      <c r="M30" s="1286"/>
      <c r="N30" s="1286"/>
      <c r="O30" s="1286"/>
      <c r="S30" s="2067" t="s">
        <v>483</v>
      </c>
      <c r="T30" s="2067"/>
      <c r="U30" s="1290"/>
      <c r="V30" s="2068" t="str">
        <f>IF(TITLE_DATE_CHANGE_PERIOD="",IF(TITLE_DATE_PR="","",TITLE_DATE_PR),TITLE_DATE_CHANGE_PERIOD)</f>
        <v/>
      </c>
      <c r="W30" s="2068"/>
      <c r="X30" s="2068"/>
      <c r="Y30" s="2068"/>
      <c r="Z30" s="2068"/>
      <c r="AA30" s="2068"/>
      <c r="AB30" s="2068"/>
      <c r="AC30" s="248"/>
      <c r="AD30" s="2068" t="str">
        <f>IF(TITLE_DATE_CHANGE_PERIOD="",IF(TITLE_DATE_PR="","",TITLE_DATE_PR),TITLE_DATE_CHANGE_PERIOD)</f>
        <v/>
      </c>
      <c r="AE30" s="2068"/>
      <c r="AF30" s="2068"/>
      <c r="AG30" s="2068"/>
      <c r="AH30" s="2068"/>
      <c r="AI30" s="2068"/>
      <c r="AJ30" s="2068"/>
      <c r="AK30" s="248"/>
      <c r="AL30" s="248"/>
      <c r="AM30" s="196"/>
      <c r="AN30" s="292"/>
      <c r="AO30" s="292"/>
      <c r="AP30" s="292"/>
      <c r="AQ30" s="292"/>
      <c r="AR30" s="292"/>
    </row>
    <row r="31" spans="1:44" s="1773" customFormat="1" ht="18.75" hidden="1" customHeight="1">
      <c r="A31" s="1286"/>
      <c r="B31" s="1286"/>
      <c r="C31" s="1286"/>
      <c r="D31" s="1286"/>
      <c r="E31" s="1286"/>
      <c r="F31" s="1286"/>
      <c r="G31" s="1286"/>
      <c r="H31" s="1286"/>
      <c r="I31" s="1286"/>
      <c r="J31" s="1286"/>
      <c r="K31" s="1286"/>
      <c r="L31" s="1287"/>
      <c r="M31" s="1286"/>
      <c r="N31" s="1286"/>
      <c r="O31" s="1286"/>
      <c r="S31" s="2067" t="s">
        <v>484</v>
      </c>
      <c r="T31" s="2067"/>
      <c r="U31" s="1290"/>
      <c r="V31" s="2069" t="str">
        <f>IF(TITLE_NUMBER_PR_CHANGE="",IF(TITLE_NUMBER_PR="","",TITLE_NUMBER_PR),TITLE_NUMBER_PR_CHANGE)</f>
        <v/>
      </c>
      <c r="W31" s="2069"/>
      <c r="X31" s="2069"/>
      <c r="Y31" s="2069"/>
      <c r="Z31" s="2069"/>
      <c r="AA31" s="2069"/>
      <c r="AB31" s="2069"/>
      <c r="AC31" s="248"/>
      <c r="AD31" s="2069" t="str">
        <f>IF(TITLE_NUMBER_PR_CHANGE="",IF(TITLE_NUMBER_PR="","",TITLE_NUMBER_PR),TITLE_NUMBER_PR_CHANGE)</f>
        <v/>
      </c>
      <c r="AE31" s="2069"/>
      <c r="AF31" s="2069"/>
      <c r="AG31" s="2069"/>
      <c r="AH31" s="2069"/>
      <c r="AI31" s="2069"/>
      <c r="AJ31" s="2069"/>
      <c r="AK31" s="248"/>
      <c r="AL31" s="248"/>
      <c r="AM31" s="196"/>
      <c r="AN31" s="292"/>
      <c r="AO31" s="292"/>
      <c r="AP31" s="292"/>
      <c r="AQ31" s="292"/>
      <c r="AR31" s="292"/>
    </row>
    <row r="32" spans="1:44" s="1773" customFormat="1" ht="18.75" hidden="1" customHeight="1">
      <c r="A32" s="1286"/>
      <c r="B32" s="1286"/>
      <c r="C32" s="1286"/>
      <c r="D32" s="1286"/>
      <c r="E32" s="1286"/>
      <c r="F32" s="1286"/>
      <c r="G32" s="1286"/>
      <c r="H32" s="1286"/>
      <c r="I32" s="1286"/>
      <c r="J32" s="1286"/>
      <c r="K32" s="1286"/>
      <c r="L32" s="1287"/>
      <c r="M32" s="1286"/>
      <c r="N32" s="1286"/>
      <c r="O32" s="1286"/>
      <c r="S32" s="2067" t="s">
        <v>41</v>
      </c>
      <c r="T32" s="2067"/>
      <c r="U32" s="1290"/>
      <c r="V32" s="2069" t="str">
        <f>IF(TITLE_IST_PUB_CHANGE="",IF(TITLE_IST_PUB="","",TITLE_IST_PUB),TITLE_IST_PUB_CHANGE)</f>
        <v/>
      </c>
      <c r="W32" s="2069"/>
      <c r="X32" s="2069"/>
      <c r="Y32" s="2069"/>
      <c r="Z32" s="2069"/>
      <c r="AA32" s="2069"/>
      <c r="AB32" s="2069"/>
      <c r="AC32" s="248"/>
      <c r="AD32" s="2069" t="str">
        <f>IF(TITLE_IST_PUB_CHANGE="",IF(TITLE_IST_PUB="","",TITLE_IST_PUB),TITLE_IST_PUB_CHANGE)</f>
        <v/>
      </c>
      <c r="AE32" s="2069"/>
      <c r="AF32" s="2069"/>
      <c r="AG32" s="2069"/>
      <c r="AH32" s="2069"/>
      <c r="AI32" s="2069"/>
      <c r="AJ32" s="2069"/>
      <c r="AK32" s="248"/>
      <c r="AL32" s="248"/>
      <c r="AM32" s="196"/>
      <c r="AN32" s="292"/>
      <c r="AO32" s="292"/>
      <c r="AP32" s="292"/>
      <c r="AQ32" s="292"/>
      <c r="AR32" s="292"/>
    </row>
    <row r="33" spans="1:44" ht="14.25" hidden="1" customHeight="1">
      <c r="Q33" s="300"/>
      <c r="R33" s="300"/>
      <c r="S33" s="1197"/>
      <c r="T33" s="286"/>
      <c r="U33" s="286"/>
      <c r="V33" s="242"/>
      <c r="W33" s="242"/>
      <c r="X33" s="242"/>
      <c r="Y33" s="242"/>
      <c r="Z33" s="242"/>
      <c r="AA33" s="242"/>
      <c r="AB33" s="242"/>
      <c r="AC33" s="242"/>
      <c r="AD33" s="242"/>
      <c r="AE33" s="242"/>
      <c r="AF33" s="242"/>
      <c r="AG33" s="242"/>
      <c r="AH33" s="242"/>
      <c r="AI33" s="242"/>
      <c r="AJ33" s="242"/>
      <c r="AK33" s="242"/>
      <c r="AL33" s="435"/>
    </row>
    <row r="34" spans="1:44" s="1773" customFormat="1" ht="18.75" hidden="1" customHeight="1">
      <c r="A34" s="1286"/>
      <c r="B34" s="1286"/>
      <c r="C34" s="1286"/>
      <c r="D34" s="1286"/>
      <c r="E34" s="1286"/>
      <c r="F34" s="1286"/>
      <c r="G34" s="1286"/>
      <c r="H34" s="1286"/>
      <c r="I34" s="1286"/>
      <c r="J34" s="1286"/>
      <c r="K34" s="1286"/>
      <c r="L34" s="1287"/>
      <c r="M34" s="1286"/>
      <c r="N34" s="1286"/>
      <c r="O34" s="1286"/>
      <c r="S34" s="2067" t="s">
        <v>485</v>
      </c>
      <c r="T34" s="2067"/>
      <c r="U34" s="1290"/>
      <c r="V34" s="2068" t="str">
        <f>IF(TITLE_DATE_CHANGE_PERIOD="",IF(TITLE_DATE_PR="","",TITLE_DATE_PR),TITLE_DATE_CHANGE_PERIOD)</f>
        <v/>
      </c>
      <c r="W34" s="2068"/>
      <c r="X34" s="2068"/>
      <c r="Y34" s="2068"/>
      <c r="Z34" s="2068"/>
      <c r="AA34" s="2068"/>
      <c r="AB34" s="2068"/>
      <c r="AC34" s="248"/>
      <c r="AD34" s="2068" t="str">
        <f>IF(TITLE_DATE_CHANGE_PERIOD="",IF(TITLE_DATE_PR="","",TITLE_DATE_PR),TITLE_DATE_CHANGE_PERIOD)</f>
        <v/>
      </c>
      <c r="AE34" s="2068"/>
      <c r="AF34" s="2068"/>
      <c r="AG34" s="2068"/>
      <c r="AH34" s="2068"/>
      <c r="AI34" s="2068"/>
      <c r="AJ34" s="2068"/>
      <c r="AK34" s="248"/>
      <c r="AL34" s="248"/>
      <c r="AM34" s="196"/>
      <c r="AN34" s="292"/>
      <c r="AO34" s="292"/>
      <c r="AP34" s="292"/>
      <c r="AQ34" s="292"/>
      <c r="AR34" s="292"/>
    </row>
    <row r="35" spans="1:44" s="1773" customFormat="1" ht="18.75" hidden="1" customHeight="1">
      <c r="A35" s="1286"/>
      <c r="B35" s="1286"/>
      <c r="C35" s="1286"/>
      <c r="D35" s="1286"/>
      <c r="E35" s="1286"/>
      <c r="F35" s="1286"/>
      <c r="G35" s="1286"/>
      <c r="H35" s="1286"/>
      <c r="I35" s="1286"/>
      <c r="J35" s="1286"/>
      <c r="K35" s="1286"/>
      <c r="L35" s="1287"/>
      <c r="M35" s="1286"/>
      <c r="N35" s="1286"/>
      <c r="O35" s="1286"/>
      <c r="S35" s="2067" t="s">
        <v>486</v>
      </c>
      <c r="T35" s="2067"/>
      <c r="U35" s="1290"/>
      <c r="V35" s="2069" t="str">
        <f>IF(TITLE_NUMBER_PR_CHANGE="",IF(TITLE_NUMBER_PR="","",TITLE_NUMBER_PR),TITLE_NUMBER_PR_CHANGE)</f>
        <v/>
      </c>
      <c r="W35" s="2069"/>
      <c r="X35" s="2069"/>
      <c r="Y35" s="2069"/>
      <c r="Z35" s="2069"/>
      <c r="AA35" s="2069"/>
      <c r="AB35" s="2069"/>
      <c r="AC35" s="248"/>
      <c r="AD35" s="2069" t="str">
        <f>IF(TITLE_NUMBER_PR_CHANGE="",IF(TITLE_NUMBER_PR="","",TITLE_NUMBER_PR),TITLE_NUMBER_PR_CHANGE)</f>
        <v/>
      </c>
      <c r="AE35" s="2069"/>
      <c r="AF35" s="2069"/>
      <c r="AG35" s="2069"/>
      <c r="AH35" s="2069"/>
      <c r="AI35" s="2069"/>
      <c r="AJ35" s="2069"/>
      <c r="AK35" s="248"/>
      <c r="AL35" s="248"/>
      <c r="AM35" s="196"/>
      <c r="AN35" s="292"/>
      <c r="AO35" s="292"/>
      <c r="AP35" s="292"/>
      <c r="AQ35" s="292"/>
      <c r="AR35" s="292"/>
    </row>
    <row r="36" spans="1:44" s="1773" customFormat="1" ht="0" hidden="1" customHeight="1">
      <c r="A36" s="1286"/>
      <c r="B36" s="1286"/>
      <c r="C36" s="1286"/>
      <c r="D36" s="1286"/>
      <c r="E36" s="1286"/>
      <c r="F36" s="1286"/>
      <c r="G36" s="1286"/>
      <c r="H36" s="1286"/>
      <c r="I36" s="1286"/>
      <c r="J36" s="1286"/>
      <c r="K36" s="1286"/>
      <c r="L36" s="1287"/>
      <c r="M36" s="1286"/>
      <c r="N36" s="1286"/>
      <c r="O36" s="1286"/>
      <c r="S36" s="244"/>
      <c r="T36" s="244"/>
      <c r="U36" s="1259"/>
      <c r="V36" s="248"/>
      <c r="W36" s="248"/>
      <c r="X36" s="248"/>
      <c r="Y36" s="248"/>
      <c r="Z36" s="248"/>
      <c r="AA36" s="248"/>
      <c r="AB36" s="248"/>
      <c r="AC36" s="194" t="s">
        <v>487</v>
      </c>
      <c r="AD36" s="248"/>
      <c r="AE36" s="248"/>
      <c r="AF36" s="248"/>
      <c r="AG36" s="248"/>
      <c r="AH36" s="248"/>
      <c r="AI36" s="248"/>
      <c r="AJ36" s="248"/>
      <c r="AK36" s="194" t="s">
        <v>487</v>
      </c>
      <c r="AN36" s="292"/>
      <c r="AO36" s="292"/>
      <c r="AP36" s="292"/>
      <c r="AQ36" s="292"/>
      <c r="AR36" s="292"/>
    </row>
    <row r="37" spans="1:44" ht="14.25" customHeight="1">
      <c r="Q37" s="300"/>
      <c r="R37" s="300"/>
      <c r="S37" s="1197"/>
      <c r="T37" s="286"/>
      <c r="U37" s="1155"/>
      <c r="V37" s="2087"/>
      <c r="W37" s="2087"/>
      <c r="X37" s="2087"/>
      <c r="Y37" s="2087"/>
      <c r="Z37" s="2087"/>
      <c r="AA37" s="2087"/>
      <c r="AB37" s="2087"/>
      <c r="AC37" s="2087"/>
      <c r="AD37" s="2087"/>
      <c r="AE37" s="2087"/>
      <c r="AF37" s="2087"/>
      <c r="AG37" s="2087"/>
      <c r="AH37" s="2087"/>
      <c r="AI37" s="2087"/>
      <c r="AJ37" s="2087"/>
      <c r="AK37" s="2087"/>
    </row>
    <row r="38" spans="1:44" ht="14.25" customHeight="1">
      <c r="Q38" s="300"/>
      <c r="R38" s="300"/>
      <c r="S38" s="1874" t="s">
        <v>291</v>
      </c>
      <c r="T38" s="1874"/>
      <c r="U38" s="1874"/>
      <c r="V38" s="1874"/>
      <c r="W38" s="1874"/>
      <c r="X38" s="1874"/>
      <c r="Y38" s="1874"/>
      <c r="Z38" s="1874"/>
      <c r="AA38" s="1874"/>
      <c r="AB38" s="1874"/>
      <c r="AC38" s="1874"/>
      <c r="AD38" s="1874"/>
      <c r="AE38" s="1874"/>
      <c r="AF38" s="1874"/>
      <c r="AG38" s="1874"/>
      <c r="AH38" s="1874"/>
      <c r="AI38" s="1874"/>
      <c r="AJ38" s="1874"/>
      <c r="AK38" s="1874"/>
      <c r="AL38" s="1874"/>
      <c r="AM38" s="1874" t="s">
        <v>292</v>
      </c>
    </row>
    <row r="39" spans="1:44" ht="14.25" customHeight="1">
      <c r="Q39" s="300"/>
      <c r="R39" s="300"/>
      <c r="S39" s="2088" t="s">
        <v>88</v>
      </c>
      <c r="T39" s="1959" t="s">
        <v>488</v>
      </c>
      <c r="U39" s="215"/>
      <c r="V39" s="2089" t="s">
        <v>489</v>
      </c>
      <c r="W39" s="2090"/>
      <c r="X39" s="2090"/>
      <c r="Y39" s="2090"/>
      <c r="Z39" s="2090"/>
      <c r="AA39" s="2090"/>
      <c r="AB39" s="2091"/>
      <c r="AC39" s="2092" t="s">
        <v>490</v>
      </c>
      <c r="AD39" s="2089" t="s">
        <v>489</v>
      </c>
      <c r="AE39" s="2090"/>
      <c r="AF39" s="2090"/>
      <c r="AG39" s="2090"/>
      <c r="AH39" s="2090"/>
      <c r="AI39" s="2090"/>
      <c r="AJ39" s="2091"/>
      <c r="AK39" s="2092" t="s">
        <v>491</v>
      </c>
      <c r="AL39" s="2095" t="s">
        <v>492</v>
      </c>
      <c r="AM39" s="1874"/>
    </row>
    <row r="40" spans="1:44" ht="33.75" customHeight="1">
      <c r="Q40" s="300"/>
      <c r="R40" s="300"/>
      <c r="S40" s="2088"/>
      <c r="T40" s="1959"/>
      <c r="U40" s="939"/>
      <c r="V40" s="1928" t="s">
        <v>493</v>
      </c>
      <c r="W40" s="2084" t="s">
        <v>494</v>
      </c>
      <c r="X40" s="1856" t="s">
        <v>495</v>
      </c>
      <c r="Y40" s="1855"/>
      <c r="Z40" s="1856" t="s">
        <v>514</v>
      </c>
      <c r="AA40" s="1861"/>
      <c r="AB40" s="1855"/>
      <c r="AC40" s="2093"/>
      <c r="AD40" s="1928" t="s">
        <v>493</v>
      </c>
      <c r="AE40" s="2084" t="s">
        <v>494</v>
      </c>
      <c r="AF40" s="1856" t="s">
        <v>495</v>
      </c>
      <c r="AG40" s="1855"/>
      <c r="AH40" s="1856" t="s">
        <v>496</v>
      </c>
      <c r="AI40" s="1861"/>
      <c r="AJ40" s="1855"/>
      <c r="AK40" s="2093"/>
      <c r="AL40" s="2096"/>
      <c r="AM40" s="1874"/>
    </row>
    <row r="41" spans="1:44" ht="33.75" customHeight="1">
      <c r="A41" s="1288"/>
      <c r="B41" s="1288" t="s">
        <v>140</v>
      </c>
      <c r="C41" s="1288" t="s">
        <v>141</v>
      </c>
      <c r="D41" s="1288" t="s">
        <v>142</v>
      </c>
      <c r="E41" s="1282" t="s">
        <v>497</v>
      </c>
      <c r="F41" s="1282" t="s">
        <v>498</v>
      </c>
      <c r="G41" s="1282" t="s">
        <v>499</v>
      </c>
      <c r="H41" s="1282" t="s">
        <v>500</v>
      </c>
      <c r="I41" s="1282" t="s">
        <v>501</v>
      </c>
      <c r="J41" s="1282" t="s">
        <v>502</v>
      </c>
      <c r="K41" s="1282" t="s">
        <v>503</v>
      </c>
      <c r="L41" s="1282" t="s">
        <v>478</v>
      </c>
      <c r="Q41" s="300"/>
      <c r="R41" s="300"/>
      <c r="S41" s="2088"/>
      <c r="T41" s="1959"/>
      <c r="U41" s="216"/>
      <c r="V41" s="1984"/>
      <c r="W41" s="2085"/>
      <c r="X41" s="1130" t="s">
        <v>504</v>
      </c>
      <c r="Y41" s="1130" t="s">
        <v>505</v>
      </c>
      <c r="Z41" s="1257" t="s">
        <v>506</v>
      </c>
      <c r="AA41" s="1965" t="s">
        <v>507</v>
      </c>
      <c r="AB41" s="1979"/>
      <c r="AC41" s="2094"/>
      <c r="AD41" s="1984"/>
      <c r="AE41" s="2085"/>
      <c r="AF41" s="1130" t="s">
        <v>504</v>
      </c>
      <c r="AG41" s="1130" t="s">
        <v>505</v>
      </c>
      <c r="AH41" s="1257" t="s">
        <v>506</v>
      </c>
      <c r="AI41" s="1965" t="s">
        <v>507</v>
      </c>
      <c r="AJ41" s="1979"/>
      <c r="AK41" s="2094"/>
      <c r="AL41" s="2097"/>
      <c r="AM41" s="1874"/>
    </row>
    <row r="42" spans="1:44" s="1558" customFormat="1" ht="11.25" hidden="1" customHeight="1">
      <c r="A42" s="1288"/>
      <c r="B42" s="1288"/>
      <c r="C42" s="1288"/>
      <c r="D42" s="1288"/>
      <c r="E42" s="1288"/>
      <c r="F42" s="1288"/>
      <c r="G42" s="1288"/>
      <c r="H42" s="1288"/>
      <c r="I42" s="1288"/>
      <c r="J42" s="1288"/>
      <c r="K42" s="1288"/>
      <c r="L42" s="1282"/>
      <c r="M42" s="1280"/>
      <c r="N42" s="1280"/>
      <c r="O42" s="1280"/>
      <c r="P42" s="1157"/>
      <c r="Q42" s="1158"/>
      <c r="R42" s="1173">
        <v>1</v>
      </c>
      <c r="S42" s="1199" t="s">
        <v>109</v>
      </c>
      <c r="T42" s="1174" t="s">
        <v>110</v>
      </c>
      <c r="U42" s="1156" t="str">
        <f ca="1">OFFSET(U42,0,-1)</f>
        <v>2</v>
      </c>
      <c r="V42" s="1254">
        <f ca="1">OFFSET(V42,0,-1)+1</f>
        <v>3</v>
      </c>
      <c r="W42" s="1254"/>
      <c r="X42" s="1254">
        <f ca="1">OFFSET(X42,0,-1)+1</f>
        <v>1</v>
      </c>
      <c r="Y42" s="1254">
        <f ca="1">OFFSET(Y42,0,-1)+1</f>
        <v>2</v>
      </c>
      <c r="Z42" s="1254">
        <f ca="1">OFFSET(Z42,0,-1)+1</f>
        <v>3</v>
      </c>
      <c r="AA42" s="2086">
        <f ca="1">OFFSET(AA42,0,-1)+1</f>
        <v>4</v>
      </c>
      <c r="AB42" s="2086"/>
      <c r="AC42" s="1254">
        <f ca="1">OFFSET(AC42,0,-2)+1</f>
        <v>5</v>
      </c>
      <c r="AD42" s="1254">
        <f ca="1">OFFSET(AD42,0,-1)+1</f>
        <v>6</v>
      </c>
      <c r="AE42" s="1254"/>
      <c r="AF42" s="1254">
        <f ca="1">OFFSET(AF42,0,-1)+1</f>
        <v>1</v>
      </c>
      <c r="AG42" s="1254">
        <f ca="1">OFFSET(AG42,0,-1)+1</f>
        <v>2</v>
      </c>
      <c r="AH42" s="1254">
        <f ca="1">OFFSET(AH42,0,-1)+1</f>
        <v>3</v>
      </c>
      <c r="AI42" s="2086">
        <f ca="1">OFFSET(AI42,0,-1)+1</f>
        <v>4</v>
      </c>
      <c r="AJ42" s="2086"/>
      <c r="AK42" s="1254">
        <f ca="1">OFFSET(AK42,0,-2)+1</f>
        <v>5</v>
      </c>
      <c r="AL42" s="1156">
        <f ca="1">OFFSET(AL42,0,-1)</f>
        <v>5</v>
      </c>
      <c r="AM42" s="1254">
        <f ca="1">OFFSET(AM42,0,-1)+1</f>
        <v>6</v>
      </c>
      <c r="AN42" s="437"/>
      <c r="AO42" s="437"/>
      <c r="AP42" s="437"/>
      <c r="AQ42" s="437"/>
      <c r="AR42" s="437"/>
    </row>
    <row r="43" spans="1:44" ht="21" customHeight="1">
      <c r="A43" s="1281" t="s">
        <v>167</v>
      </c>
      <c r="B43" s="1281"/>
      <c r="C43" s="1281"/>
      <c r="D43" s="1281"/>
      <c r="E43" s="2076">
        <v>1</v>
      </c>
      <c r="F43" s="1281"/>
      <c r="G43" s="1281"/>
      <c r="H43" s="1281"/>
      <c r="I43" s="1281"/>
      <c r="J43" s="1281"/>
      <c r="K43" s="1281"/>
      <c r="L43" s="1282"/>
      <c r="M43" s="1283"/>
      <c r="N43" s="1283"/>
      <c r="O43" s="1283"/>
      <c r="P43" s="282"/>
      <c r="Q43" s="281"/>
      <c r="R43" s="276"/>
      <c r="S43" s="1255">
        <f>INDEX(PT_DIFFERENTIATION_NUM_NTAR,MATCH(A43,PT_DIFFERENTIATION_NTAR_ID,0))</f>
        <v>0</v>
      </c>
      <c r="T43" s="212" t="s">
        <v>128</v>
      </c>
      <c r="U43" s="214"/>
      <c r="V43" s="2070"/>
      <c r="W43" s="2071"/>
      <c r="X43" s="2071"/>
      <c r="Y43" s="2071"/>
      <c r="Z43" s="2071"/>
      <c r="AA43" s="2071"/>
      <c r="AB43" s="2071"/>
      <c r="AC43" s="2072"/>
      <c r="AD43" s="2070" t="str">
        <f>INDEX(PT_DIFFERENTIATION_NTAR,MATCH(A43,PT_DIFFERENTIATION_NTAR_ID,0))</f>
        <v/>
      </c>
      <c r="AE43" s="2071"/>
      <c r="AF43" s="2071"/>
      <c r="AG43" s="2071"/>
      <c r="AH43" s="2071"/>
      <c r="AI43" s="2071"/>
      <c r="AJ43" s="2071"/>
      <c r="AK43" s="2071"/>
      <c r="AL43" s="2072"/>
      <c r="AM43" s="1179"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426"/>
      <c r="AP43" s="426" t="str">
        <f t="shared" ref="AP43:AP57" si="1">IF(T43="","",T43)</f>
        <v>Наименование тарифа</v>
      </c>
      <c r="AQ43" s="426"/>
      <c r="AR43" s="426"/>
    </row>
    <row r="44" spans="1:44" ht="21" customHeight="1">
      <c r="A44" s="1281" t="s">
        <v>167</v>
      </c>
      <c r="B44" s="1281" t="s">
        <v>168</v>
      </c>
      <c r="C44" s="1281"/>
      <c r="D44" s="1281"/>
      <c r="E44" s="2077"/>
      <c r="F44" s="2076">
        <v>1</v>
      </c>
      <c r="G44" s="1281"/>
      <c r="H44" s="1281"/>
      <c r="I44" s="1281"/>
      <c r="J44" s="1281"/>
      <c r="K44" s="1281"/>
      <c r="L44" s="1282"/>
      <c r="M44" s="1283"/>
      <c r="N44" s="1283"/>
      <c r="O44" s="1283"/>
      <c r="P44" s="1251"/>
      <c r="Q44" s="273"/>
      <c r="R44" s="274"/>
      <c r="S44" s="1255" t="str">
        <f>INDEX(PT_DIFFERENTIATION_NUM_TER,MATCH(B44,PT_DIFFERENTIATION_TER_ID,0))</f>
        <v>.</v>
      </c>
      <c r="T44" s="224" t="s">
        <v>460</v>
      </c>
      <c r="U44" s="214"/>
      <c r="V44" s="2070"/>
      <c r="W44" s="2071"/>
      <c r="X44" s="2071"/>
      <c r="Y44" s="2071"/>
      <c r="Z44" s="2071"/>
      <c r="AA44" s="2071"/>
      <c r="AB44" s="2071"/>
      <c r="AC44" s="2072"/>
      <c r="AD44" s="2070" t="str">
        <f>INDEX(PT_DIFFERENTIATION_TER,MATCH(B44,PT_DIFFERENTIATION_TER_ID,0))</f>
        <v/>
      </c>
      <c r="AE44" s="2071"/>
      <c r="AF44" s="2071"/>
      <c r="AG44" s="2071"/>
      <c r="AH44" s="2071"/>
      <c r="AI44" s="2071"/>
      <c r="AJ44" s="2071"/>
      <c r="AK44" s="2071"/>
      <c r="AL44" s="2072"/>
      <c r="AM44" s="1179" t="s">
        <v>461</v>
      </c>
      <c r="AO44" s="426"/>
      <c r="AP44" s="426" t="str">
        <f t="shared" si="1"/>
        <v>Территория действия тарифа</v>
      </c>
      <c r="AQ44" s="426"/>
      <c r="AR44" s="426"/>
    </row>
    <row r="45" spans="1:44" ht="23.25" customHeight="1">
      <c r="A45" s="1281" t="s">
        <v>167</v>
      </c>
      <c r="B45" s="1281" t="s">
        <v>168</v>
      </c>
      <c r="C45" s="1281" t="s">
        <v>169</v>
      </c>
      <c r="D45" s="1281"/>
      <c r="E45" s="2077"/>
      <c r="F45" s="2077"/>
      <c r="G45" s="2076">
        <v>1</v>
      </c>
      <c r="H45" s="1281"/>
      <c r="I45" s="1281"/>
      <c r="J45" s="1281"/>
      <c r="K45" s="1281"/>
      <c r="L45" s="1282"/>
      <c r="M45" s="1283"/>
      <c r="N45" s="1283"/>
      <c r="O45" s="1283"/>
      <c r="P45" s="275"/>
      <c r="Q45" s="273"/>
      <c r="R45" s="274"/>
      <c r="S45" s="1255" t="str">
        <f>INDEX(PT_DIFFERENTIATION_NUM_CS,MATCH(C45,PT_DIFFERENTIATION_CS_ID,0))</f>
        <v>..</v>
      </c>
      <c r="T45" s="225" t="s">
        <v>462</v>
      </c>
      <c r="U45" s="214"/>
      <c r="V45" s="2070"/>
      <c r="W45" s="2071"/>
      <c r="X45" s="2071"/>
      <c r="Y45" s="2071"/>
      <c r="Z45" s="2071"/>
      <c r="AA45" s="2071"/>
      <c r="AB45" s="2071"/>
      <c r="AC45" s="2072"/>
      <c r="AD45" s="2070" t="str">
        <f>INDEX(PT_DIFFERENTIATION_CS,MATCH(C45,PT_DIFFERENTIATION_CS_ID,0))</f>
        <v/>
      </c>
      <c r="AE45" s="2071"/>
      <c r="AF45" s="2071"/>
      <c r="AG45" s="2071"/>
      <c r="AH45" s="2071"/>
      <c r="AI45" s="2071"/>
      <c r="AJ45" s="2071"/>
      <c r="AK45" s="2071"/>
      <c r="AL45" s="2072"/>
      <c r="AM45" s="1179" t="s">
        <v>463</v>
      </c>
      <c r="AO45" s="426"/>
      <c r="AP45" s="426" t="str">
        <f t="shared" si="1"/>
        <v xml:space="preserve">Наименование системы теплоснабжения </v>
      </c>
      <c r="AQ45" s="426"/>
      <c r="AR45" s="426"/>
    </row>
    <row r="46" spans="1:44" ht="21" customHeight="1">
      <c r="A46" s="1281" t="s">
        <v>167</v>
      </c>
      <c r="B46" s="1281" t="s">
        <v>168</v>
      </c>
      <c r="C46" s="1281" t="s">
        <v>169</v>
      </c>
      <c r="D46" s="1281" t="s">
        <v>170</v>
      </c>
      <c r="E46" s="2077"/>
      <c r="F46" s="2077"/>
      <c r="G46" s="2077"/>
      <c r="H46" s="2076">
        <v>1</v>
      </c>
      <c r="I46" s="1281"/>
      <c r="J46" s="1281"/>
      <c r="K46" s="1281"/>
      <c r="L46" s="1282"/>
      <c r="M46" s="1283"/>
      <c r="N46" s="1283"/>
      <c r="O46" s="1283"/>
      <c r="P46" s="275"/>
      <c r="Q46" s="273"/>
      <c r="R46" s="274"/>
      <c r="S46" s="1255" t="str">
        <f>INDEX(PT_DIFFERENTIATION_NUM_IST_TE,MATCH(D46,PT_DIFFERENTIATION_IST_TE_ID,0))</f>
        <v>...</v>
      </c>
      <c r="T46" s="226" t="s">
        <v>464</v>
      </c>
      <c r="U46" s="214"/>
      <c r="V46" s="2070"/>
      <c r="W46" s="2071"/>
      <c r="X46" s="2071"/>
      <c r="Y46" s="2071"/>
      <c r="Z46" s="2071"/>
      <c r="AA46" s="2071"/>
      <c r="AB46" s="2071"/>
      <c r="AC46" s="2072"/>
      <c r="AD46" s="2070" t="str">
        <f>INDEX(PT_DIFFERENTIATION_IST_TE,MATCH(D46,PT_DIFFERENTIATION_IST_TE_ID,0))</f>
        <v/>
      </c>
      <c r="AE46" s="2071"/>
      <c r="AF46" s="2071"/>
      <c r="AG46" s="2071"/>
      <c r="AH46" s="2071"/>
      <c r="AI46" s="2071"/>
      <c r="AJ46" s="2071"/>
      <c r="AK46" s="2071"/>
      <c r="AL46" s="2072"/>
      <c r="AM46" s="1179" t="s">
        <v>465</v>
      </c>
      <c r="AO46" s="426"/>
      <c r="AP46" s="426" t="str">
        <f t="shared" si="1"/>
        <v xml:space="preserve">Источник тепловой энергии  </v>
      </c>
      <c r="AQ46" s="426"/>
      <c r="AR46" s="426"/>
    </row>
    <row r="47" spans="1:44" ht="47.25" customHeight="1">
      <c r="A47" s="1281" t="s">
        <v>167</v>
      </c>
      <c r="B47" s="1281" t="s">
        <v>168</v>
      </c>
      <c r="C47" s="1281" t="s">
        <v>169</v>
      </c>
      <c r="D47" s="1281" t="s">
        <v>170</v>
      </c>
      <c r="E47" s="2077"/>
      <c r="F47" s="2077"/>
      <c r="G47" s="2077"/>
      <c r="H47" s="2077"/>
      <c r="I47" s="2078" t="str">
        <f>S46&amp;".1"</f>
        <v>....1</v>
      </c>
      <c r="J47" s="1281"/>
      <c r="K47" s="1281"/>
      <c r="L47" s="1282" t="s">
        <v>466</v>
      </c>
      <c r="P47" s="1995">
        <v>1</v>
      </c>
      <c r="Q47" s="1250"/>
      <c r="R47" s="277"/>
      <c r="S47" s="1255" t="str">
        <f>$I47</f>
        <v>....1</v>
      </c>
      <c r="T47" s="200" t="s">
        <v>467</v>
      </c>
      <c r="U47" s="214"/>
      <c r="V47" s="2064"/>
      <c r="W47" s="2065"/>
      <c r="X47" s="2065"/>
      <c r="Y47" s="2065"/>
      <c r="Z47" s="2065"/>
      <c r="AA47" s="2065"/>
      <c r="AB47" s="2065"/>
      <c r="AC47" s="2066"/>
      <c r="AD47" s="2064"/>
      <c r="AE47" s="2065"/>
      <c r="AF47" s="2065"/>
      <c r="AG47" s="2065"/>
      <c r="AH47" s="2065"/>
      <c r="AI47" s="2065"/>
      <c r="AJ47" s="2065"/>
      <c r="AK47" s="2065"/>
      <c r="AL47" s="2066"/>
      <c r="AM47" s="1179" t="s">
        <v>468</v>
      </c>
      <c r="AO47" s="426"/>
      <c r="AP47" s="426" t="str">
        <f t="shared" si="1"/>
        <v>Схема подключения теплопотребляющей установки к коллектору источника тепловой энергии</v>
      </c>
      <c r="AQ47" s="426"/>
      <c r="AR47" s="426"/>
    </row>
    <row r="48" spans="1:44" ht="21" customHeight="1">
      <c r="A48" s="1281" t="s">
        <v>167</v>
      </c>
      <c r="B48" s="1281" t="s">
        <v>168</v>
      </c>
      <c r="C48" s="1281" t="s">
        <v>169</v>
      </c>
      <c r="D48" s="1281" t="s">
        <v>170</v>
      </c>
      <c r="E48" s="2077"/>
      <c r="F48" s="2077"/>
      <c r="G48" s="2077"/>
      <c r="H48" s="2077"/>
      <c r="I48" s="2079"/>
      <c r="J48" s="2078" t="str">
        <f>I47&amp;".1"</f>
        <v>....1.1</v>
      </c>
      <c r="K48" s="1281"/>
      <c r="L48" s="1282" t="s">
        <v>469</v>
      </c>
      <c r="P48" s="1995"/>
      <c r="Q48" s="1995">
        <v>1</v>
      </c>
      <c r="R48" s="278"/>
      <c r="S48" s="1255" t="str">
        <f>$J48</f>
        <v>....1.1</v>
      </c>
      <c r="T48" s="201" t="s">
        <v>470</v>
      </c>
      <c r="U48" s="214"/>
      <c r="V48" s="2064"/>
      <c r="W48" s="2065"/>
      <c r="X48" s="2065"/>
      <c r="Y48" s="2065"/>
      <c r="Z48" s="2065"/>
      <c r="AA48" s="2065"/>
      <c r="AB48" s="2065"/>
      <c r="AC48" s="2066"/>
      <c r="AD48" s="2064"/>
      <c r="AE48" s="2065"/>
      <c r="AF48" s="2065"/>
      <c r="AG48" s="2065"/>
      <c r="AH48" s="2065"/>
      <c r="AI48" s="2065"/>
      <c r="AJ48" s="2065"/>
      <c r="AK48" s="2065"/>
      <c r="AL48" s="2066"/>
      <c r="AM48" s="1179" t="s">
        <v>471</v>
      </c>
      <c r="AO48" s="426"/>
      <c r="AP48" s="426" t="str">
        <f t="shared" si="1"/>
        <v>Группа потребителей</v>
      </c>
      <c r="AQ48" s="426"/>
      <c r="AR48" s="426"/>
    </row>
    <row r="49" spans="1:44" ht="21" customHeight="1">
      <c r="A49" s="1281" t="s">
        <v>167</v>
      </c>
      <c r="B49" s="1281" t="s">
        <v>168</v>
      </c>
      <c r="C49" s="1281" t="s">
        <v>169</v>
      </c>
      <c r="D49" s="1281" t="s">
        <v>170</v>
      </c>
      <c r="E49" s="2077"/>
      <c r="F49" s="2077"/>
      <c r="G49" s="2077"/>
      <c r="H49" s="2077"/>
      <c r="I49" s="2079"/>
      <c r="J49" s="2079"/>
      <c r="K49" s="2078" t="str">
        <f>J48&amp;".1"</f>
        <v>....1.1.1</v>
      </c>
      <c r="L49" s="1282" t="s">
        <v>472</v>
      </c>
      <c r="P49" s="1995"/>
      <c r="Q49" s="1995"/>
      <c r="R49" s="278">
        <v>1</v>
      </c>
      <c r="S49" s="1255" t="str">
        <f>$K49</f>
        <v>....1.1.1</v>
      </c>
      <c r="T49" s="1266"/>
      <c r="U49" s="214"/>
      <c r="V49" s="664"/>
      <c r="W49" s="246"/>
      <c r="X49" s="664"/>
      <c r="Y49" s="1178"/>
      <c r="Z49" s="2080"/>
      <c r="AA49" s="1885" t="s">
        <v>59</v>
      </c>
      <c r="AB49" s="2080"/>
      <c r="AC49" s="1885" t="s">
        <v>59</v>
      </c>
      <c r="AD49" s="664"/>
      <c r="AE49" s="246"/>
      <c r="AF49" s="664"/>
      <c r="AG49" s="1178"/>
      <c r="AH49" s="2080"/>
      <c r="AI49" s="1885" t="s">
        <v>59</v>
      </c>
      <c r="AJ49" s="2082"/>
      <c r="AK49" s="1885" t="s">
        <v>59</v>
      </c>
      <c r="AL49" s="1267"/>
      <c r="AM49" s="2098" t="s">
        <v>473</v>
      </c>
      <c r="AN49" s="437" t="e">
        <f ca="1">STRCHECKDATE(V50:AL50)</f>
        <v>#NAME?</v>
      </c>
      <c r="AO49" s="426"/>
      <c r="AP49" s="426" t="str">
        <f t="shared" si="1"/>
        <v/>
      </c>
      <c r="AQ49" s="426"/>
      <c r="AR49" s="426"/>
    </row>
    <row r="50" spans="1:44" ht="0.75" customHeight="1">
      <c r="A50" s="1281" t="s">
        <v>167</v>
      </c>
      <c r="B50" s="1281" t="s">
        <v>168</v>
      </c>
      <c r="C50" s="1281" t="s">
        <v>169</v>
      </c>
      <c r="D50" s="1281" t="s">
        <v>170</v>
      </c>
      <c r="E50" s="2077"/>
      <c r="F50" s="2077"/>
      <c r="G50" s="2077"/>
      <c r="H50" s="2077"/>
      <c r="I50" s="2079"/>
      <c r="J50" s="2079"/>
      <c r="K50" s="2078"/>
      <c r="L50" s="1282"/>
      <c r="P50" s="1995"/>
      <c r="Q50" s="1995"/>
      <c r="R50" s="278"/>
      <c r="S50" s="1261"/>
      <c r="T50" s="214"/>
      <c r="U50" s="214"/>
      <c r="V50" s="246"/>
      <c r="W50" s="246"/>
      <c r="X50" s="246"/>
      <c r="Y50" s="250" t="str">
        <f>Z49&amp;"-"&amp;AB49</f>
        <v>-</v>
      </c>
      <c r="Z50" s="2081"/>
      <c r="AA50" s="1885"/>
      <c r="AB50" s="2081"/>
      <c r="AC50" s="1885"/>
      <c r="AD50" s="246"/>
      <c r="AE50" s="246"/>
      <c r="AF50" s="246"/>
      <c r="AG50" s="250" t="str">
        <f>AH49&amp;"-"&amp;AJ49</f>
        <v>-</v>
      </c>
      <c r="AH50" s="2081"/>
      <c r="AI50" s="1885"/>
      <c r="AJ50" s="2083"/>
      <c r="AK50" s="1885"/>
      <c r="AL50" s="1268"/>
      <c r="AM50" s="2099"/>
      <c r="AO50" s="426"/>
      <c r="AP50" s="426" t="str">
        <f t="shared" si="1"/>
        <v/>
      </c>
      <c r="AQ50" s="426"/>
      <c r="AR50" s="426"/>
    </row>
    <row r="51" spans="1:44" ht="11.25" customHeight="1">
      <c r="A51" s="1281" t="s">
        <v>167</v>
      </c>
      <c r="B51" s="1281" t="s">
        <v>168</v>
      </c>
      <c r="C51" s="1281" t="s">
        <v>169</v>
      </c>
      <c r="D51" s="1281" t="s">
        <v>170</v>
      </c>
      <c r="E51" s="2077"/>
      <c r="F51" s="2077"/>
      <c r="G51" s="2077"/>
      <c r="H51" s="2077"/>
      <c r="I51" s="2079"/>
      <c r="J51" s="2078"/>
      <c r="K51" s="1281"/>
      <c r="L51" s="1282"/>
      <c r="P51" s="1995"/>
      <c r="Q51" s="1995"/>
      <c r="R51" s="277"/>
      <c r="S51" s="1200"/>
      <c r="T51" s="203" t="s">
        <v>474</v>
      </c>
      <c r="U51" s="291"/>
      <c r="V51" s="291"/>
      <c r="W51" s="291"/>
      <c r="X51" s="291"/>
      <c r="Y51" s="291"/>
      <c r="Z51" s="291"/>
      <c r="AA51" s="291"/>
      <c r="AB51" s="291"/>
      <c r="AC51" s="291"/>
      <c r="AD51" s="291"/>
      <c r="AE51" s="291"/>
      <c r="AF51" s="291"/>
      <c r="AG51" s="291"/>
      <c r="AH51" s="291"/>
      <c r="AI51" s="291"/>
      <c r="AJ51" s="291"/>
      <c r="AK51" s="291"/>
      <c r="AL51" s="245"/>
      <c r="AM51" s="2100"/>
      <c r="AO51" s="426"/>
      <c r="AP51" s="426" t="str">
        <f t="shared" si="1"/>
        <v>Добавить вид теплоносителя (параметры теплоносителя)</v>
      </c>
      <c r="AQ51" s="426"/>
      <c r="AR51" s="426"/>
    </row>
    <row r="52" spans="1:44" ht="11.25" customHeight="1">
      <c r="A52" s="1281" t="s">
        <v>167</v>
      </c>
      <c r="B52" s="1281" t="s">
        <v>168</v>
      </c>
      <c r="C52" s="1281" t="s">
        <v>169</v>
      </c>
      <c r="D52" s="1281" t="s">
        <v>170</v>
      </c>
      <c r="E52" s="2077"/>
      <c r="F52" s="2077"/>
      <c r="G52" s="2077"/>
      <c r="H52" s="2077"/>
      <c r="I52" s="2078"/>
      <c r="J52" s="1281"/>
      <c r="K52" s="1281"/>
      <c r="L52" s="1282"/>
      <c r="P52" s="1995"/>
      <c r="Q52" s="1250"/>
      <c r="R52" s="277"/>
      <c r="S52" s="1200"/>
      <c r="T52" s="202" t="s">
        <v>475</v>
      </c>
      <c r="U52" s="291"/>
      <c r="V52" s="291"/>
      <c r="W52" s="291"/>
      <c r="X52" s="291"/>
      <c r="Y52" s="291"/>
      <c r="Z52" s="291"/>
      <c r="AA52" s="291"/>
      <c r="AB52" s="291"/>
      <c r="AC52" s="290"/>
      <c r="AD52" s="291"/>
      <c r="AE52" s="291"/>
      <c r="AF52" s="291"/>
      <c r="AG52" s="291"/>
      <c r="AH52" s="291"/>
      <c r="AI52" s="291"/>
      <c r="AJ52" s="291"/>
      <c r="AK52" s="290"/>
      <c r="AL52" s="291"/>
      <c r="AM52" s="217"/>
      <c r="AO52" s="426"/>
      <c r="AP52" s="426" t="str">
        <f t="shared" si="1"/>
        <v>Добавить группу потребителей</v>
      </c>
      <c r="AQ52" s="426"/>
      <c r="AR52" s="426"/>
    </row>
    <row r="53" spans="1:44" ht="14.25" customHeight="1">
      <c r="A53" s="1281" t="s">
        <v>167</v>
      </c>
      <c r="B53" s="1281" t="s">
        <v>168</v>
      </c>
      <c r="C53" s="1281" t="s">
        <v>169</v>
      </c>
      <c r="D53" s="1281" t="s">
        <v>170</v>
      </c>
      <c r="E53" s="2077"/>
      <c r="F53" s="2077"/>
      <c r="G53" s="2077"/>
      <c r="H53" s="2076"/>
      <c r="I53" s="1281"/>
      <c r="J53" s="1281"/>
      <c r="K53" s="1281"/>
      <c r="L53" s="1282"/>
      <c r="M53" s="1283"/>
      <c r="N53" s="1283"/>
      <c r="O53" s="462"/>
      <c r="P53" s="281"/>
      <c r="Q53" s="299"/>
      <c r="R53" s="276"/>
      <c r="S53" s="1200"/>
      <c r="T53" s="288" t="s">
        <v>476</v>
      </c>
      <c r="U53" s="291"/>
      <c r="V53" s="291"/>
      <c r="W53" s="291"/>
      <c r="X53" s="291"/>
      <c r="Y53" s="291"/>
      <c r="Z53" s="291"/>
      <c r="AA53" s="291"/>
      <c r="AB53" s="291"/>
      <c r="AC53" s="290"/>
      <c r="AD53" s="291"/>
      <c r="AE53" s="291"/>
      <c r="AF53" s="291"/>
      <c r="AG53" s="291"/>
      <c r="AH53" s="291"/>
      <c r="AI53" s="291"/>
      <c r="AJ53" s="291"/>
      <c r="AK53" s="290"/>
      <c r="AL53" s="291"/>
      <c r="AM53" s="217"/>
      <c r="AO53" s="426"/>
      <c r="AP53" s="426" t="str">
        <f t="shared" si="1"/>
        <v>Добавить схему подключения</v>
      </c>
      <c r="AQ53" s="426"/>
      <c r="AR53" s="426"/>
    </row>
    <row r="54" spans="1:44" s="1559" customFormat="1" ht="0.75" customHeight="1">
      <c r="A54" s="1262" t="s">
        <v>167</v>
      </c>
      <c r="B54" s="1262" t="s">
        <v>168</v>
      </c>
      <c r="C54" s="1262" t="s">
        <v>169</v>
      </c>
      <c r="D54" s="1234"/>
      <c r="E54" s="2077"/>
      <c r="F54" s="2077"/>
      <c r="G54" s="2076"/>
      <c r="H54" s="1234"/>
      <c r="I54" s="1234"/>
      <c r="J54" s="1234"/>
      <c r="K54" s="1234"/>
      <c r="L54" s="1258"/>
      <c r="M54" s="1235"/>
      <c r="N54" s="1235"/>
      <c r="P54" s="1236"/>
      <c r="Q54" s="1237"/>
      <c r="R54" s="1236"/>
      <c r="S54" s="1242"/>
      <c r="T54" s="1245" t="s">
        <v>433</v>
      </c>
      <c r="U54" s="1244"/>
      <c r="V54" s="1244"/>
      <c r="W54" s="1244"/>
      <c r="X54" s="1244"/>
      <c r="Y54" s="1244"/>
      <c r="Z54" s="1244"/>
      <c r="AA54" s="1244"/>
      <c r="AB54" s="1244"/>
      <c r="AC54" s="1244"/>
      <c r="AD54" s="1244"/>
      <c r="AE54" s="1244"/>
      <c r="AF54" s="1244"/>
      <c r="AG54" s="1244"/>
      <c r="AH54" s="1244"/>
      <c r="AI54" s="1244"/>
      <c r="AJ54" s="1244"/>
      <c r="AK54" s="1244"/>
      <c r="AL54" s="1244"/>
      <c r="AM54" s="1244"/>
      <c r="AO54" s="702"/>
      <c r="AP54" s="702" t="str">
        <f t="shared" si="1"/>
        <v>Добавить источник для дифференциации</v>
      </c>
      <c r="AQ54" s="702"/>
      <c r="AR54" s="702"/>
    </row>
    <row r="55" spans="1:44" s="1559" customFormat="1" ht="0.75" customHeight="1">
      <c r="A55" s="1262" t="s">
        <v>167</v>
      </c>
      <c r="B55" s="1262" t="s">
        <v>168</v>
      </c>
      <c r="C55" s="1234"/>
      <c r="D55" s="1234"/>
      <c r="E55" s="2077"/>
      <c r="F55" s="2076"/>
      <c r="G55" s="1234"/>
      <c r="H55" s="1234"/>
      <c r="I55" s="1234"/>
      <c r="J55" s="1234"/>
      <c r="K55" s="1234"/>
      <c r="L55" s="1258"/>
      <c r="M55" s="1241"/>
      <c r="N55" s="1241"/>
      <c r="P55" s="1236"/>
      <c r="Q55" s="1237"/>
      <c r="R55" s="1236"/>
      <c r="S55" s="1242"/>
      <c r="T55" s="1245" t="s">
        <v>434</v>
      </c>
      <c r="U55" s="1244"/>
      <c r="V55" s="1244"/>
      <c r="W55" s="1244"/>
      <c r="X55" s="1244"/>
      <c r="Y55" s="1244"/>
      <c r="Z55" s="1244"/>
      <c r="AA55" s="1244"/>
      <c r="AB55" s="1244"/>
      <c r="AC55" s="1244"/>
      <c r="AD55" s="1244"/>
      <c r="AE55" s="1244"/>
      <c r="AF55" s="1244"/>
      <c r="AG55" s="1244"/>
      <c r="AH55" s="1244"/>
      <c r="AI55" s="1244"/>
      <c r="AJ55" s="1244"/>
      <c r="AK55" s="1244"/>
      <c r="AL55" s="1244"/>
      <c r="AM55" s="1244"/>
      <c r="AO55" s="702"/>
      <c r="AP55" s="702" t="str">
        <f t="shared" si="1"/>
        <v>Добавить централизованную систему для дифференциации</v>
      </c>
      <c r="AQ55" s="702"/>
      <c r="AR55" s="702"/>
    </row>
    <row r="56" spans="1:44" s="1559" customFormat="1" ht="0.75" customHeight="1">
      <c r="A56" s="1262" t="s">
        <v>167</v>
      </c>
      <c r="B56" s="1262"/>
      <c r="C56" s="1262"/>
      <c r="D56" s="1262"/>
      <c r="E56" s="2076"/>
      <c r="F56" s="1262"/>
      <c r="G56" s="1262"/>
      <c r="H56" s="1262"/>
      <c r="I56" s="1262"/>
      <c r="J56" s="1262"/>
      <c r="K56" s="1262"/>
      <c r="L56" s="1265"/>
      <c r="M56" s="1241"/>
      <c r="N56" s="1241"/>
      <c r="O56" s="444"/>
      <c r="P56" s="308"/>
      <c r="Q56" s="1263"/>
      <c r="R56" s="308"/>
      <c r="S56" s="1242"/>
      <c r="T56" s="1245" t="s">
        <v>435</v>
      </c>
      <c r="U56" s="1244"/>
      <c r="V56" s="1244"/>
      <c r="W56" s="1244"/>
      <c r="X56" s="1244"/>
      <c r="Y56" s="1244"/>
      <c r="Z56" s="1244"/>
      <c r="AA56" s="1244"/>
      <c r="AB56" s="1244"/>
      <c r="AC56" s="1244"/>
      <c r="AD56" s="1244"/>
      <c r="AE56" s="1244"/>
      <c r="AF56" s="1244"/>
      <c r="AG56" s="1244"/>
      <c r="AH56" s="1244"/>
      <c r="AI56" s="1244"/>
      <c r="AJ56" s="1244"/>
      <c r="AK56" s="1244"/>
      <c r="AL56" s="1244"/>
      <c r="AM56" s="1244"/>
      <c r="AO56" s="426"/>
      <c r="AP56" s="426" t="str">
        <f t="shared" si="1"/>
        <v>Добавить территорию для дифференциации</v>
      </c>
      <c r="AQ56" s="426"/>
      <c r="AR56" s="426"/>
    </row>
    <row r="57" spans="1:44" s="1559" customFormat="1" ht="0.75" customHeight="1">
      <c r="A57" s="1234"/>
      <c r="B57" s="1234"/>
      <c r="C57" s="1234"/>
      <c r="D57" s="1234"/>
      <c r="E57" s="1262"/>
      <c r="F57" s="1234"/>
      <c r="G57" s="1234"/>
      <c r="H57" s="1234"/>
      <c r="I57" s="1234"/>
      <c r="J57" s="1234"/>
      <c r="K57" s="1234"/>
      <c r="L57" s="1258"/>
      <c r="M57" s="1241"/>
      <c r="N57" s="1241"/>
      <c r="P57" s="1236"/>
      <c r="Q57" s="1237"/>
      <c r="R57" s="1236"/>
      <c r="S57" s="1242"/>
      <c r="T57" s="1245" t="s">
        <v>436</v>
      </c>
      <c r="U57" s="1244"/>
      <c r="V57" s="1244"/>
      <c r="W57" s="1244"/>
      <c r="X57" s="1244"/>
      <c r="Y57" s="1244"/>
      <c r="Z57" s="1244"/>
      <c r="AA57" s="1244"/>
      <c r="AB57" s="1244"/>
      <c r="AC57" s="1244"/>
      <c r="AD57" s="1244"/>
      <c r="AE57" s="1244"/>
      <c r="AF57" s="1244"/>
      <c r="AG57" s="1244"/>
      <c r="AH57" s="1244"/>
      <c r="AI57" s="1244"/>
      <c r="AJ57" s="1244"/>
      <c r="AK57" s="1244"/>
      <c r="AL57" s="1244"/>
      <c r="AM57" s="1244"/>
      <c r="AO57" s="702"/>
      <c r="AP57" s="702" t="str">
        <f t="shared" si="1"/>
        <v>Добавить наименование тарифа</v>
      </c>
      <c r="AQ57" s="702"/>
      <c r="AR57" s="702"/>
    </row>
    <row r="58" spans="1:44" ht="11.25" hidden="1" customHeight="1">
      <c r="M58" s="1062"/>
      <c r="N58" s="1062"/>
      <c r="O58" s="462"/>
      <c r="P58" s="1057"/>
      <c r="Q58" s="1057"/>
      <c r="R58" s="1057"/>
      <c r="S58" s="1057"/>
      <c r="AN58" s="1057"/>
      <c r="AO58" s="1057"/>
      <c r="AP58" s="1057"/>
      <c r="AQ58" s="1057"/>
      <c r="AR58" s="1057"/>
    </row>
    <row r="59" spans="1:44" ht="27" hidden="1" customHeight="1">
      <c r="O59" s="462"/>
      <c r="S59" s="1166" t="s">
        <v>508</v>
      </c>
      <c r="T59" s="2075" t="s">
        <v>515</v>
      </c>
      <c r="U59" s="2075"/>
      <c r="V59" s="2075"/>
      <c r="W59" s="2075"/>
      <c r="X59" s="2075"/>
      <c r="Y59" s="2075"/>
      <c r="Z59" s="2075"/>
      <c r="AA59" s="2075"/>
      <c r="AB59" s="2075"/>
      <c r="AC59" s="2075"/>
      <c r="AD59" s="2075"/>
      <c r="AE59" s="2075"/>
      <c r="AF59" s="2075"/>
      <c r="AG59" s="2075"/>
      <c r="AH59" s="2075"/>
      <c r="AI59" s="2075"/>
      <c r="AJ59" s="2075"/>
      <c r="AK59" s="2075"/>
      <c r="AL59" s="2075"/>
      <c r="AM59" s="2075"/>
    </row>
    <row r="60" spans="1:44" ht="62.25" hidden="1" customHeight="1">
      <c r="O60" s="462"/>
      <c r="T60" s="2075" t="s">
        <v>510</v>
      </c>
      <c r="U60" s="2075"/>
      <c r="V60" s="2075"/>
      <c r="W60" s="2075"/>
      <c r="X60" s="2075"/>
      <c r="Y60" s="2075"/>
      <c r="Z60" s="2075"/>
      <c r="AA60" s="2075"/>
      <c r="AB60" s="2075"/>
      <c r="AC60" s="2075"/>
      <c r="AD60" s="2075"/>
      <c r="AE60" s="2075"/>
      <c r="AF60" s="2075"/>
      <c r="AG60" s="2075"/>
      <c r="AH60" s="2075"/>
      <c r="AI60" s="2075"/>
      <c r="AJ60" s="2075"/>
      <c r="AK60" s="2075"/>
      <c r="AL60" s="2075"/>
      <c r="AM60" s="2075"/>
    </row>
    <row r="61" spans="1:44" ht="14.25" hidden="1" customHeight="1">
      <c r="O61" s="462"/>
    </row>
    <row r="62" spans="1:44" ht="18" hidden="1" customHeight="1">
      <c r="O62" s="462"/>
      <c r="S62" s="1166" t="s">
        <v>508</v>
      </c>
      <c r="T62" s="2075" t="s">
        <v>511</v>
      </c>
      <c r="U62" s="2075"/>
      <c r="V62" s="2075"/>
      <c r="W62" s="2075"/>
      <c r="X62" s="2075"/>
      <c r="Y62" s="2075"/>
      <c r="Z62" s="2075"/>
      <c r="AA62" s="2075"/>
      <c r="AB62" s="2075"/>
      <c r="AC62" s="2075"/>
      <c r="AD62" s="2075"/>
      <c r="AE62" s="2075"/>
      <c r="AF62" s="2075"/>
      <c r="AG62" s="2075"/>
      <c r="AH62" s="2075"/>
      <c r="AI62" s="2075"/>
      <c r="AJ62" s="2075"/>
      <c r="AK62" s="2075"/>
      <c r="AL62" s="2075"/>
      <c r="AM62" s="2075"/>
    </row>
    <row r="63" spans="1:44" ht="18" hidden="1" customHeight="1">
      <c r="O63" s="462"/>
      <c r="T63" s="2075" t="s">
        <v>512</v>
      </c>
      <c r="U63" s="2075"/>
      <c r="V63" s="2075"/>
      <c r="W63" s="2075"/>
      <c r="X63" s="2075"/>
      <c r="Y63" s="2075"/>
      <c r="Z63" s="2075"/>
      <c r="AA63" s="2075"/>
      <c r="AB63" s="2075"/>
      <c r="AC63" s="2075"/>
      <c r="AD63" s="2075"/>
      <c r="AE63" s="2075"/>
      <c r="AF63" s="2075"/>
      <c r="AG63" s="2075"/>
      <c r="AH63" s="2075"/>
      <c r="AI63" s="2075"/>
      <c r="AJ63" s="2075"/>
      <c r="AK63" s="2075"/>
      <c r="AL63" s="2075"/>
      <c r="AM63" s="2075"/>
    </row>
    <row r="64" spans="1:44" ht="27.75" hidden="1" customHeight="1">
      <c r="O64" s="462"/>
      <c r="S64" s="1166"/>
      <c r="T64" s="2075" t="s">
        <v>513</v>
      </c>
      <c r="U64" s="2075"/>
      <c r="V64" s="2075"/>
      <c r="W64" s="2075"/>
      <c r="X64" s="2075"/>
      <c r="Y64" s="2075"/>
      <c r="Z64" s="2075"/>
      <c r="AA64" s="2075"/>
      <c r="AB64" s="2075"/>
      <c r="AC64" s="2075"/>
      <c r="AD64" s="2075"/>
      <c r="AE64" s="2075"/>
      <c r="AF64" s="2075"/>
      <c r="AG64" s="2075"/>
      <c r="AH64" s="2075"/>
      <c r="AI64" s="2075"/>
      <c r="AJ64" s="2075"/>
      <c r="AK64" s="2075"/>
      <c r="AL64" s="2075"/>
      <c r="AM64" s="2075"/>
    </row>
  </sheetData>
  <sheetProtection formatColumns="0" formatRows="0" insertRows="0" deleteColumns="0" deleteRows="0" sort="0" autoFilter="0"/>
  <mergeCells count="112">
    <mergeCell ref="S26:AJ26"/>
    <mergeCell ref="S27:AJ27"/>
    <mergeCell ref="S29:T29"/>
    <mergeCell ref="AD29:AJ29"/>
    <mergeCell ref="S30:T30"/>
    <mergeCell ref="V30:AB30"/>
    <mergeCell ref="AD30:AJ30"/>
    <mergeCell ref="S31:T31"/>
    <mergeCell ref="E2:E15"/>
    <mergeCell ref="F3:F14"/>
    <mergeCell ref="G4:G13"/>
    <mergeCell ref="H5:H12"/>
    <mergeCell ref="I6:I11"/>
    <mergeCell ref="P6:P11"/>
    <mergeCell ref="J7:J10"/>
    <mergeCell ref="Q7:Q10"/>
    <mergeCell ref="K8:K9"/>
    <mergeCell ref="Z8:Z9"/>
    <mergeCell ref="AA8:AA9"/>
    <mergeCell ref="AB8:AB9"/>
    <mergeCell ref="AC8:AC9"/>
    <mergeCell ref="V29:AB29"/>
    <mergeCell ref="V31:AB31"/>
    <mergeCell ref="AD31:AJ31"/>
    <mergeCell ref="V7:AC7"/>
    <mergeCell ref="AD7:AL7"/>
    <mergeCell ref="V2:AC2"/>
    <mergeCell ref="AD2:AL2"/>
    <mergeCell ref="V3:AC3"/>
    <mergeCell ref="AD3:AL3"/>
    <mergeCell ref="V4:AC4"/>
    <mergeCell ref="AD4:AL4"/>
    <mergeCell ref="V5:AC5"/>
    <mergeCell ref="AD5:AL5"/>
    <mergeCell ref="V6:AC6"/>
    <mergeCell ref="AD6:AL6"/>
    <mergeCell ref="AM8:AM10"/>
    <mergeCell ref="AH17:AH18"/>
    <mergeCell ref="AI17:AI18"/>
    <mergeCell ref="AJ17:AJ18"/>
    <mergeCell ref="AK17:AK18"/>
    <mergeCell ref="AH8:AH9"/>
    <mergeCell ref="AI8:AI9"/>
    <mergeCell ref="AJ8:AJ9"/>
    <mergeCell ref="AK8:AK9"/>
    <mergeCell ref="S32:T32"/>
    <mergeCell ref="V32:AB32"/>
    <mergeCell ref="AD32:AJ32"/>
    <mergeCell ref="V37:AC37"/>
    <mergeCell ref="AD37:AK37"/>
    <mergeCell ref="S34:T34"/>
    <mergeCell ref="V34:AB34"/>
    <mergeCell ref="AD34:AJ34"/>
    <mergeCell ref="S35:T35"/>
    <mergeCell ref="V35:AB35"/>
    <mergeCell ref="AD35:AJ35"/>
    <mergeCell ref="AH40:AJ40"/>
    <mergeCell ref="AA41:AB41"/>
    <mergeCell ref="AI41:AJ41"/>
    <mergeCell ref="AA42:AB42"/>
    <mergeCell ref="AI42:AJ42"/>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E40:AE41"/>
    <mergeCell ref="AF40:AG4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V47:AC47"/>
    <mergeCell ref="AD47:AL47"/>
    <mergeCell ref="T63:AM63"/>
    <mergeCell ref="T64:AM64"/>
    <mergeCell ref="T62:AM62"/>
    <mergeCell ref="AM49:AM51"/>
    <mergeCell ref="T59:AM59"/>
    <mergeCell ref="T60:AM60"/>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s>
  <dataValidations count="8">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AR64"/>
  <sheetViews>
    <sheetView showGridLines="0" topLeftCell="P25" zoomScale="90" workbookViewId="0"/>
  </sheetViews>
  <sheetFormatPr defaultColWidth="10.5703125" defaultRowHeight="14.25" customHeight="1"/>
  <cols>
    <col min="1" max="1" width="10.5703125" style="1284" hidden="1"/>
    <col min="2" max="2" width="11" style="1284" hidden="1" customWidth="1"/>
    <col min="3" max="3" width="10.5703125" style="1284" hidden="1"/>
    <col min="4" max="4" width="11.85546875" style="1284" hidden="1" customWidth="1"/>
    <col min="5" max="5" width="10" style="1284" hidden="1" customWidth="1"/>
    <col min="6" max="6" width="8.7109375" style="1284" hidden="1" customWidth="1"/>
    <col min="7" max="7" width="7.5703125" style="1284" hidden="1" customWidth="1"/>
    <col min="8" max="8" width="11.42578125" style="1284" hidden="1" customWidth="1"/>
    <col min="9" max="9" width="12" style="1284" hidden="1" customWidth="1"/>
    <col min="10" max="10" width="9.85546875" style="1284" hidden="1" customWidth="1"/>
    <col min="11" max="11" width="11.42578125" style="1284" hidden="1" customWidth="1"/>
    <col min="12" max="12" width="19.140625" style="1799" hidden="1" customWidth="1"/>
    <col min="13" max="14" width="12.28515625" style="1696" hidden="1" customWidth="1"/>
    <col min="15" max="15" width="23.42578125" style="1696" hidden="1" customWidth="1"/>
    <col min="16" max="16" width="3.7109375" style="1803" customWidth="1"/>
    <col min="17" max="18" width="3.7109375" style="265" customWidth="1"/>
    <col min="19" max="19" width="12.7109375" style="1806" customWidth="1"/>
    <col min="20" max="20" width="32" style="1552" customWidth="1"/>
    <col min="21" max="22" width="0.140625" style="1552" customWidth="1"/>
    <col min="23" max="23" width="24.7109375" style="1552" hidden="1" customWidth="1"/>
    <col min="24" max="25" width="0.140625" style="1552" hidden="1" customWidth="1"/>
    <col min="26" max="26" width="11.7109375" style="1552" hidden="1" customWidth="1"/>
    <col min="27" max="27" width="3.7109375" style="1552" hidden="1" customWidth="1"/>
    <col min="28" max="28" width="11.7109375" style="1552" hidden="1" customWidth="1"/>
    <col min="29" max="29" width="8.5703125" style="1552" hidden="1" customWidth="1"/>
    <col min="30" max="30" width="0.140625" style="1552" customWidth="1"/>
    <col min="31" max="31" width="24.7109375" style="1552" customWidth="1"/>
    <col min="32" max="33" width="0.140625" style="1552" customWidth="1"/>
    <col min="34" max="34" width="11.7109375" style="1552" customWidth="1"/>
    <col min="35" max="35" width="3.7109375" style="1552" customWidth="1"/>
    <col min="36" max="36" width="11.7109375" style="1552" customWidth="1"/>
    <col min="37" max="37" width="8.5703125" style="1552" hidden="1" customWidth="1"/>
    <col min="38" max="38" width="4.7109375" style="1552" customWidth="1"/>
    <col min="39" max="39" width="115.7109375" style="1552" customWidth="1"/>
    <col min="40" max="41" width="10.5703125" style="1559"/>
    <col min="42" max="42" width="11.140625" style="1559" customWidth="1"/>
    <col min="43" max="44" width="10.5703125" style="1559"/>
  </cols>
  <sheetData>
    <row r="1" spans="1:44" ht="14.25" hidden="1" customHeight="1">
      <c r="Y1" s="249"/>
      <c r="Z1" s="249"/>
      <c r="AG1" s="249"/>
      <c r="AH1" s="249"/>
    </row>
    <row r="2" spans="1:44" ht="21" hidden="1" customHeight="1">
      <c r="A2" s="1281"/>
      <c r="B2" s="1281"/>
      <c r="C2" s="1281"/>
      <c r="D2" s="1281"/>
      <c r="E2" s="2076">
        <v>1</v>
      </c>
      <c r="F2" s="1281"/>
      <c r="G2" s="1281"/>
      <c r="H2" s="1281"/>
      <c r="I2" s="1281"/>
      <c r="J2" s="1281"/>
      <c r="K2" s="1281"/>
      <c r="L2" s="1282"/>
      <c r="M2" s="1283"/>
      <c r="N2" s="1283"/>
      <c r="O2" s="1283"/>
      <c r="P2" s="282"/>
      <c r="Q2" s="281"/>
      <c r="R2" s="276"/>
      <c r="S2" s="1255" t="e">
        <f>INDEX(PT_DIFFERENTIATION_NUM_NTAR,MATCH(A2,PT_DIFFERENTIATION_NTAR_ID,0))</f>
        <v>#N/A</v>
      </c>
      <c r="T2" s="212" t="s">
        <v>128</v>
      </c>
      <c r="U2" s="214"/>
      <c r="V2" s="2070"/>
      <c r="W2" s="2071"/>
      <c r="X2" s="2071"/>
      <c r="Y2" s="2071"/>
      <c r="Z2" s="2071"/>
      <c r="AA2" s="2071"/>
      <c r="AB2" s="2071"/>
      <c r="AC2" s="2072"/>
      <c r="AD2" s="2070" t="e">
        <f>INDEX(PT_DIFFERENTIATION_NTAR,MATCH(A2,PT_DIFFERENTIATION_NTAR_ID,0))</f>
        <v>#N/A</v>
      </c>
      <c r="AE2" s="2071"/>
      <c r="AF2" s="2071"/>
      <c r="AG2" s="2071"/>
      <c r="AH2" s="2071"/>
      <c r="AI2" s="2071"/>
      <c r="AJ2" s="2071"/>
      <c r="AK2" s="2071"/>
      <c r="AL2" s="2072"/>
      <c r="AM2" s="1179" t="s">
        <v>459</v>
      </c>
      <c r="AO2" s="426"/>
      <c r="AP2" s="426" t="str">
        <f t="shared" ref="AP2:AP15" si="0">IF(T2="","",T2)</f>
        <v>Наименование тарифа</v>
      </c>
      <c r="AQ2" s="426"/>
      <c r="AR2" s="426"/>
    </row>
    <row r="3" spans="1:44" ht="21" hidden="1" customHeight="1">
      <c r="A3" s="1281"/>
      <c r="B3" s="1281"/>
      <c r="C3" s="1281"/>
      <c r="D3" s="1281"/>
      <c r="E3" s="2077"/>
      <c r="F3" s="2076">
        <v>1</v>
      </c>
      <c r="G3" s="1281"/>
      <c r="H3" s="1281"/>
      <c r="I3" s="1281"/>
      <c r="J3" s="1281"/>
      <c r="K3" s="1281"/>
      <c r="L3" s="1282"/>
      <c r="M3" s="1283"/>
      <c r="N3" s="1283"/>
      <c r="O3" s="1283"/>
      <c r="P3" s="1251"/>
      <c r="Q3" s="273"/>
      <c r="R3" s="274"/>
      <c r="S3" s="1255" t="e">
        <f>INDEX(PT_DIFFERENTIATION_NUM_TER,MATCH(B3,PT_DIFFERENTIATION_TER_ID,0))</f>
        <v>#N/A</v>
      </c>
      <c r="T3" s="224" t="s">
        <v>460</v>
      </c>
      <c r="U3" s="214"/>
      <c r="V3" s="2070"/>
      <c r="W3" s="2071"/>
      <c r="X3" s="2071"/>
      <c r="Y3" s="2071"/>
      <c r="Z3" s="2071"/>
      <c r="AA3" s="2071"/>
      <c r="AB3" s="2071"/>
      <c r="AC3" s="2072"/>
      <c r="AD3" s="2070" t="e">
        <f>INDEX(PT_DIFFERENTIATION_TER,MATCH(B3,PT_DIFFERENTIATION_TER_ID,0))</f>
        <v>#N/A</v>
      </c>
      <c r="AE3" s="2071"/>
      <c r="AF3" s="2071"/>
      <c r="AG3" s="2071"/>
      <c r="AH3" s="2071"/>
      <c r="AI3" s="2071"/>
      <c r="AJ3" s="2071"/>
      <c r="AK3" s="2071"/>
      <c r="AL3" s="2072"/>
      <c r="AM3" s="1179" t="s">
        <v>461</v>
      </c>
      <c r="AO3" s="426"/>
      <c r="AP3" s="426" t="str">
        <f t="shared" si="0"/>
        <v>Территория действия тарифа</v>
      </c>
      <c r="AQ3" s="426"/>
      <c r="AR3" s="426"/>
    </row>
    <row r="4" spans="1:44" ht="23.25" hidden="1" customHeight="1">
      <c r="A4" s="1281"/>
      <c r="B4" s="1281"/>
      <c r="C4" s="1281"/>
      <c r="D4" s="1281"/>
      <c r="E4" s="2077"/>
      <c r="F4" s="2077"/>
      <c r="G4" s="2076">
        <v>1</v>
      </c>
      <c r="H4" s="1281"/>
      <c r="I4" s="1281"/>
      <c r="J4" s="1281"/>
      <c r="K4" s="1281"/>
      <c r="L4" s="1282"/>
      <c r="M4" s="1283"/>
      <c r="N4" s="1283"/>
      <c r="O4" s="1283"/>
      <c r="P4" s="275"/>
      <c r="Q4" s="273"/>
      <c r="R4" s="274"/>
      <c r="S4" s="1255" t="e">
        <f>INDEX(PT_DIFFERENTIATION_NUM_CS,MATCH(C4,PT_DIFFERENTIATION_CS_ID,0))</f>
        <v>#N/A</v>
      </c>
      <c r="T4" s="225" t="s">
        <v>462</v>
      </c>
      <c r="U4" s="214"/>
      <c r="V4" s="2070"/>
      <c r="W4" s="2071"/>
      <c r="X4" s="2071"/>
      <c r="Y4" s="2071"/>
      <c r="Z4" s="2071"/>
      <c r="AA4" s="2071"/>
      <c r="AB4" s="2071"/>
      <c r="AC4" s="2072"/>
      <c r="AD4" s="2070" t="e">
        <f>INDEX(PT_DIFFERENTIATION_CS,MATCH(C4,PT_DIFFERENTIATION_CS_ID,0))</f>
        <v>#N/A</v>
      </c>
      <c r="AE4" s="2071"/>
      <c r="AF4" s="2071"/>
      <c r="AG4" s="2071"/>
      <c r="AH4" s="2071"/>
      <c r="AI4" s="2071"/>
      <c r="AJ4" s="2071"/>
      <c r="AK4" s="2071"/>
      <c r="AL4" s="2072"/>
      <c r="AM4" s="1179" t="s">
        <v>463</v>
      </c>
      <c r="AO4" s="426"/>
      <c r="AP4" s="426" t="str">
        <f t="shared" si="0"/>
        <v xml:space="preserve">Наименование системы теплоснабжения </v>
      </c>
      <c r="AQ4" s="426"/>
      <c r="AR4" s="426"/>
    </row>
    <row r="5" spans="1:44" ht="21" hidden="1" customHeight="1">
      <c r="A5" s="1281"/>
      <c r="B5" s="1281"/>
      <c r="C5" s="1281"/>
      <c r="D5" s="1281"/>
      <c r="E5" s="2077"/>
      <c r="F5" s="2077"/>
      <c r="G5" s="2077"/>
      <c r="H5" s="2076">
        <v>1</v>
      </c>
      <c r="I5" s="1281"/>
      <c r="J5" s="1281"/>
      <c r="K5" s="1281"/>
      <c r="L5" s="1282"/>
      <c r="M5" s="1283"/>
      <c r="N5" s="1283"/>
      <c r="O5" s="1283"/>
      <c r="P5" s="275"/>
      <c r="Q5" s="273"/>
      <c r="R5" s="274"/>
      <c r="S5" s="1255" t="e">
        <f>INDEX(PT_DIFFERENTIATION_NUM_IST_TE,MATCH(D5,PT_DIFFERENTIATION_IST_TE_ID,0))</f>
        <v>#N/A</v>
      </c>
      <c r="T5" s="226" t="s">
        <v>464</v>
      </c>
      <c r="U5" s="214"/>
      <c r="V5" s="2070"/>
      <c r="W5" s="2071"/>
      <c r="X5" s="2071"/>
      <c r="Y5" s="2071"/>
      <c r="Z5" s="2071"/>
      <c r="AA5" s="2071"/>
      <c r="AB5" s="2071"/>
      <c r="AC5" s="2072"/>
      <c r="AD5" s="2070" t="e">
        <f>INDEX(PT_DIFFERENTIATION_IST_TE,MATCH(D5,PT_DIFFERENTIATION_IST_TE_ID,0))</f>
        <v>#N/A</v>
      </c>
      <c r="AE5" s="2071"/>
      <c r="AF5" s="2071"/>
      <c r="AG5" s="2071"/>
      <c r="AH5" s="2071"/>
      <c r="AI5" s="2071"/>
      <c r="AJ5" s="2071"/>
      <c r="AK5" s="2071"/>
      <c r="AL5" s="2072"/>
      <c r="AM5" s="1179" t="s">
        <v>465</v>
      </c>
      <c r="AO5" s="426"/>
      <c r="AP5" s="426" t="str">
        <f t="shared" si="0"/>
        <v xml:space="preserve">Источник тепловой энергии  </v>
      </c>
      <c r="AQ5" s="426"/>
      <c r="AR5" s="426"/>
    </row>
    <row r="6" spans="1:44" ht="47.25" hidden="1" customHeight="1">
      <c r="A6" s="1281"/>
      <c r="B6" s="1281"/>
      <c r="C6" s="1281"/>
      <c r="D6" s="1281"/>
      <c r="E6" s="2077"/>
      <c r="F6" s="2077"/>
      <c r="G6" s="2077"/>
      <c r="H6" s="2077"/>
      <c r="I6" s="2078" t="e">
        <f>S5&amp;".1"</f>
        <v>#N/A</v>
      </c>
      <c r="J6" s="1281"/>
      <c r="K6" s="1281"/>
      <c r="L6" s="1282" t="s">
        <v>466</v>
      </c>
      <c r="M6" s="462"/>
      <c r="P6" s="1995">
        <v>1</v>
      </c>
      <c r="Q6" s="1250"/>
      <c r="R6" s="277"/>
      <c r="S6" s="1255" t="e">
        <f>$I6</f>
        <v>#N/A</v>
      </c>
      <c r="T6" s="200" t="s">
        <v>467</v>
      </c>
      <c r="U6" s="214"/>
      <c r="V6" s="2064"/>
      <c r="W6" s="2065"/>
      <c r="X6" s="2065"/>
      <c r="Y6" s="2065"/>
      <c r="Z6" s="2065"/>
      <c r="AA6" s="2065"/>
      <c r="AB6" s="2065"/>
      <c r="AC6" s="2066"/>
      <c r="AD6" s="2064"/>
      <c r="AE6" s="2065"/>
      <c r="AF6" s="2065"/>
      <c r="AG6" s="2065"/>
      <c r="AH6" s="2065"/>
      <c r="AI6" s="2065"/>
      <c r="AJ6" s="2065"/>
      <c r="AK6" s="2065"/>
      <c r="AL6" s="2066"/>
      <c r="AM6" s="1179" t="s">
        <v>468</v>
      </c>
      <c r="AO6" s="426"/>
      <c r="AP6" s="426" t="str">
        <f t="shared" si="0"/>
        <v>Схема подключения теплопотребляющей установки к коллектору источника тепловой энергии</v>
      </c>
      <c r="AQ6" s="426"/>
      <c r="AR6" s="426"/>
    </row>
    <row r="7" spans="1:44" ht="21" hidden="1" customHeight="1">
      <c r="A7" s="1281"/>
      <c r="B7" s="1281"/>
      <c r="C7" s="1281"/>
      <c r="D7" s="1281"/>
      <c r="E7" s="2077"/>
      <c r="F7" s="2077"/>
      <c r="G7" s="2077"/>
      <c r="H7" s="2077"/>
      <c r="I7" s="2079"/>
      <c r="J7" s="2078" t="e">
        <f>I6&amp;".1"</f>
        <v>#N/A</v>
      </c>
      <c r="K7" s="1281"/>
      <c r="L7" s="1282" t="s">
        <v>469</v>
      </c>
      <c r="M7" s="462"/>
      <c r="N7" s="1284"/>
      <c r="P7" s="1995"/>
      <c r="Q7" s="1995">
        <v>1</v>
      </c>
      <c r="R7" s="278"/>
      <c r="S7" s="1255" t="e">
        <f>$J7</f>
        <v>#N/A</v>
      </c>
      <c r="T7" s="201" t="s">
        <v>470</v>
      </c>
      <c r="U7" s="214"/>
      <c r="V7" s="2064"/>
      <c r="W7" s="2065"/>
      <c r="X7" s="2065"/>
      <c r="Y7" s="2065"/>
      <c r="Z7" s="2065"/>
      <c r="AA7" s="2065"/>
      <c r="AB7" s="2065"/>
      <c r="AC7" s="2066"/>
      <c r="AD7" s="2064"/>
      <c r="AE7" s="2065"/>
      <c r="AF7" s="2065"/>
      <c r="AG7" s="2065"/>
      <c r="AH7" s="2065"/>
      <c r="AI7" s="2065"/>
      <c r="AJ7" s="2065"/>
      <c r="AK7" s="2065"/>
      <c r="AL7" s="2066"/>
      <c r="AM7" s="1179" t="s">
        <v>471</v>
      </c>
      <c r="AO7" s="426"/>
      <c r="AP7" s="426" t="str">
        <f t="shared" si="0"/>
        <v>Группа потребителей</v>
      </c>
      <c r="AQ7" s="426"/>
      <c r="AR7" s="426"/>
    </row>
    <row r="8" spans="1:44" ht="21" hidden="1" customHeight="1">
      <c r="A8" s="1281"/>
      <c r="B8" s="1281"/>
      <c r="C8" s="1281"/>
      <c r="D8" s="1281"/>
      <c r="E8" s="2077"/>
      <c r="F8" s="2077"/>
      <c r="G8" s="2077"/>
      <c r="H8" s="2077"/>
      <c r="I8" s="2079"/>
      <c r="J8" s="2079"/>
      <c r="K8" s="2078" t="e">
        <f>J7&amp;".1"</f>
        <v>#N/A</v>
      </c>
      <c r="L8" s="1282" t="s">
        <v>472</v>
      </c>
      <c r="M8" s="462"/>
      <c r="N8" s="1284"/>
      <c r="O8" s="1284"/>
      <c r="P8" s="1995"/>
      <c r="Q8" s="1995"/>
      <c r="R8" s="278">
        <v>1</v>
      </c>
      <c r="S8" s="1255" t="e">
        <f>$K8</f>
        <v>#N/A</v>
      </c>
      <c r="T8" s="1266"/>
      <c r="U8" s="214"/>
      <c r="V8" s="246"/>
      <c r="W8" s="664"/>
      <c r="X8" s="246"/>
      <c r="Y8" s="313"/>
      <c r="Z8" s="2080"/>
      <c r="AA8" s="1885" t="s">
        <v>59</v>
      </c>
      <c r="AB8" s="2080"/>
      <c r="AC8" s="1885" t="s">
        <v>59</v>
      </c>
      <c r="AD8" s="246"/>
      <c r="AE8" s="664"/>
      <c r="AF8" s="246"/>
      <c r="AG8" s="313"/>
      <c r="AH8" s="2080"/>
      <c r="AI8" s="1885" t="s">
        <v>59</v>
      </c>
      <c r="AJ8" s="2080"/>
      <c r="AK8" s="1885" t="s">
        <v>59</v>
      </c>
      <c r="AL8" s="246"/>
      <c r="AM8" s="2098" t="s">
        <v>473</v>
      </c>
      <c r="AN8" s="437" t="e">
        <f ca="1">STRCHECKDATE(V9:AL9)</f>
        <v>#NAME?</v>
      </c>
      <c r="AO8" s="426"/>
      <c r="AP8" s="426" t="str">
        <f t="shared" si="0"/>
        <v/>
      </c>
      <c r="AQ8" s="426"/>
      <c r="AR8" s="426"/>
    </row>
    <row r="9" spans="1:44" ht="0.75" hidden="1" customHeight="1">
      <c r="A9" s="1281"/>
      <c r="B9" s="1281"/>
      <c r="C9" s="1281"/>
      <c r="D9" s="1281"/>
      <c r="E9" s="2077"/>
      <c r="F9" s="2077"/>
      <c r="G9" s="2077"/>
      <c r="H9" s="2077"/>
      <c r="I9" s="2079"/>
      <c r="J9" s="2079"/>
      <c r="K9" s="2078"/>
      <c r="L9" s="1282"/>
      <c r="M9" s="462"/>
      <c r="N9" s="1284"/>
      <c r="O9" s="1284"/>
      <c r="P9" s="1995"/>
      <c r="Q9" s="1995"/>
      <c r="R9" s="278"/>
      <c r="S9" s="1261"/>
      <c r="T9" s="214"/>
      <c r="U9" s="214"/>
      <c r="V9" s="246"/>
      <c r="W9" s="246"/>
      <c r="X9" s="246"/>
      <c r="Y9" s="250" t="str">
        <f>Z8&amp;"-"&amp;AB8</f>
        <v>-</v>
      </c>
      <c r="Z9" s="2081"/>
      <c r="AA9" s="1885"/>
      <c r="AB9" s="2081"/>
      <c r="AC9" s="1885"/>
      <c r="AD9" s="246"/>
      <c r="AE9" s="246"/>
      <c r="AF9" s="246"/>
      <c r="AG9" s="250" t="str">
        <f>AH8&amp;"-"&amp;AJ8</f>
        <v>-</v>
      </c>
      <c r="AH9" s="2081"/>
      <c r="AI9" s="1885"/>
      <c r="AJ9" s="2081"/>
      <c r="AK9" s="1885"/>
      <c r="AL9" s="246"/>
      <c r="AM9" s="2099"/>
      <c r="AO9" s="426"/>
      <c r="AP9" s="426" t="str">
        <f t="shared" si="0"/>
        <v/>
      </c>
      <c r="AQ9" s="426"/>
      <c r="AR9" s="426"/>
    </row>
    <row r="10" spans="1:44" ht="15" hidden="1" customHeight="1">
      <c r="A10" s="1281"/>
      <c r="B10" s="1281"/>
      <c r="C10" s="1281"/>
      <c r="D10" s="1281"/>
      <c r="E10" s="2077"/>
      <c r="F10" s="2077"/>
      <c r="G10" s="2077"/>
      <c r="H10" s="2077"/>
      <c r="I10" s="2079"/>
      <c r="J10" s="2078"/>
      <c r="K10" s="1281"/>
      <c r="L10" s="1282"/>
      <c r="M10" s="462"/>
      <c r="N10" s="1284"/>
      <c r="P10" s="1995"/>
      <c r="Q10" s="1995"/>
      <c r="R10" s="277"/>
      <c r="S10" s="1200"/>
      <c r="T10" s="203" t="s">
        <v>474</v>
      </c>
      <c r="U10" s="291"/>
      <c r="V10" s="291"/>
      <c r="W10" s="291"/>
      <c r="X10" s="291"/>
      <c r="Y10" s="291"/>
      <c r="Z10" s="291"/>
      <c r="AA10" s="291"/>
      <c r="AB10" s="291"/>
      <c r="AC10" s="291"/>
      <c r="AD10" s="291"/>
      <c r="AE10" s="291"/>
      <c r="AF10" s="291"/>
      <c r="AG10" s="291"/>
      <c r="AH10" s="291"/>
      <c r="AI10" s="291"/>
      <c r="AJ10" s="291"/>
      <c r="AK10" s="291"/>
      <c r="AL10" s="245"/>
      <c r="AM10" s="2100"/>
      <c r="AO10" s="426"/>
      <c r="AP10" s="426" t="str">
        <f t="shared" si="0"/>
        <v>Добавить вид теплоносителя (параметры теплоносителя)</v>
      </c>
      <c r="AQ10" s="426"/>
      <c r="AR10" s="426"/>
    </row>
    <row r="11" spans="1:44" ht="15" hidden="1" customHeight="1">
      <c r="A11" s="1281"/>
      <c r="B11" s="1281"/>
      <c r="C11" s="1281"/>
      <c r="D11" s="1281"/>
      <c r="E11" s="2077"/>
      <c r="F11" s="2077"/>
      <c r="G11" s="2077"/>
      <c r="H11" s="2077"/>
      <c r="I11" s="2078"/>
      <c r="J11" s="1281"/>
      <c r="K11" s="1281"/>
      <c r="L11" s="1282"/>
      <c r="M11" s="462"/>
      <c r="P11" s="1995"/>
      <c r="Q11" s="1250"/>
      <c r="R11" s="277"/>
      <c r="S11" s="1200"/>
      <c r="T11" s="202" t="s">
        <v>475</v>
      </c>
      <c r="U11" s="291"/>
      <c r="V11" s="291"/>
      <c r="W11" s="291"/>
      <c r="X11" s="291"/>
      <c r="Y11" s="291"/>
      <c r="Z11" s="291"/>
      <c r="AA11" s="291"/>
      <c r="AB11" s="291"/>
      <c r="AC11" s="290"/>
      <c r="AD11" s="291"/>
      <c r="AE11" s="291"/>
      <c r="AF11" s="291"/>
      <c r="AG11" s="291"/>
      <c r="AH11" s="291"/>
      <c r="AI11" s="291"/>
      <c r="AJ11" s="291"/>
      <c r="AK11" s="290"/>
      <c r="AL11" s="291"/>
      <c r="AM11" s="217"/>
      <c r="AO11" s="426"/>
      <c r="AP11" s="426" t="str">
        <f t="shared" si="0"/>
        <v>Добавить группу потребителей</v>
      </c>
      <c r="AQ11" s="426"/>
      <c r="AR11" s="426"/>
    </row>
    <row r="12" spans="1:44" ht="14.25" hidden="1" customHeight="1">
      <c r="A12" s="1281"/>
      <c r="B12" s="1281"/>
      <c r="C12" s="1281"/>
      <c r="D12" s="1281"/>
      <c r="E12" s="2077"/>
      <c r="F12" s="2077"/>
      <c r="G12" s="2077"/>
      <c r="H12" s="2076"/>
      <c r="I12" s="1281"/>
      <c r="J12" s="1281"/>
      <c r="K12" s="1281"/>
      <c r="L12" s="1282"/>
      <c r="M12" s="1283"/>
      <c r="N12" s="1283"/>
      <c r="O12" s="462"/>
      <c r="P12" s="281"/>
      <c r="Q12" s="299"/>
      <c r="R12" s="276"/>
      <c r="S12" s="1200"/>
      <c r="T12" s="288" t="s">
        <v>476</v>
      </c>
      <c r="U12" s="291"/>
      <c r="V12" s="291"/>
      <c r="W12" s="291"/>
      <c r="X12" s="291"/>
      <c r="Y12" s="291"/>
      <c r="Z12" s="291"/>
      <c r="AA12" s="291"/>
      <c r="AB12" s="291"/>
      <c r="AC12" s="290"/>
      <c r="AD12" s="291"/>
      <c r="AE12" s="291"/>
      <c r="AF12" s="291"/>
      <c r="AG12" s="291"/>
      <c r="AH12" s="291"/>
      <c r="AI12" s="291"/>
      <c r="AJ12" s="291"/>
      <c r="AK12" s="290"/>
      <c r="AL12" s="291"/>
      <c r="AM12" s="217"/>
      <c r="AO12" s="426"/>
      <c r="AP12" s="426" t="str">
        <f t="shared" si="0"/>
        <v>Добавить схему подключения</v>
      </c>
      <c r="AQ12" s="426"/>
      <c r="AR12" s="426"/>
    </row>
    <row r="13" spans="1:44" s="1559" customFormat="1" ht="0.75" hidden="1" customHeight="1">
      <c r="A13" s="1234"/>
      <c r="B13" s="1234"/>
      <c r="C13" s="1234"/>
      <c r="D13" s="1234"/>
      <c r="E13" s="2077"/>
      <c r="F13" s="2077"/>
      <c r="G13" s="2076"/>
      <c r="H13" s="1234"/>
      <c r="I13" s="1234"/>
      <c r="J13" s="1234"/>
      <c r="K13" s="1234"/>
      <c r="L13" s="1258"/>
      <c r="M13" s="1235"/>
      <c r="N13" s="1235"/>
      <c r="P13" s="1236"/>
      <c r="Q13" s="1237"/>
      <c r="R13" s="1236"/>
      <c r="S13" s="1238"/>
      <c r="T13" s="1239" t="s">
        <v>433</v>
      </c>
      <c r="U13" s="1240"/>
      <c r="V13" s="1240"/>
      <c r="W13" s="1240"/>
      <c r="X13" s="1240"/>
      <c r="Y13" s="1240"/>
      <c r="Z13" s="1240"/>
      <c r="AA13" s="1240"/>
      <c r="AB13" s="1240"/>
      <c r="AC13" s="1240"/>
      <c r="AD13" s="1240"/>
      <c r="AE13" s="1240"/>
      <c r="AF13" s="1240"/>
      <c r="AG13" s="1240"/>
      <c r="AH13" s="1240"/>
      <c r="AI13" s="1240"/>
      <c r="AJ13" s="1240"/>
      <c r="AK13" s="1240"/>
      <c r="AL13" s="1240"/>
      <c r="AM13" s="1240"/>
      <c r="AO13" s="702"/>
      <c r="AP13" s="702" t="str">
        <f t="shared" si="0"/>
        <v>Добавить источник для дифференциации</v>
      </c>
      <c r="AQ13" s="702"/>
      <c r="AR13" s="702"/>
    </row>
    <row r="14" spans="1:44" s="1559" customFormat="1" ht="0.75" hidden="1" customHeight="1">
      <c r="A14" s="1234"/>
      <c r="B14" s="1234"/>
      <c r="C14" s="1234"/>
      <c r="D14" s="1234"/>
      <c r="E14" s="2077"/>
      <c r="F14" s="2076"/>
      <c r="G14" s="1234"/>
      <c r="H14" s="1234"/>
      <c r="I14" s="1234"/>
      <c r="J14" s="1234"/>
      <c r="K14" s="1234"/>
      <c r="L14" s="1258"/>
      <c r="M14" s="1241"/>
      <c r="N14" s="1241"/>
      <c r="P14" s="1236"/>
      <c r="Q14" s="1237"/>
      <c r="R14" s="1236"/>
      <c r="S14" s="1242"/>
      <c r="T14" s="1243" t="s">
        <v>434</v>
      </c>
      <c r="U14" s="1244"/>
      <c r="V14" s="1244"/>
      <c r="W14" s="1244"/>
      <c r="X14" s="1244"/>
      <c r="Y14" s="1244"/>
      <c r="Z14" s="1244"/>
      <c r="AA14" s="1244"/>
      <c r="AB14" s="1244"/>
      <c r="AC14" s="1244"/>
      <c r="AD14" s="1244"/>
      <c r="AE14" s="1244"/>
      <c r="AF14" s="1244"/>
      <c r="AG14" s="1244"/>
      <c r="AH14" s="1244"/>
      <c r="AI14" s="1244"/>
      <c r="AJ14" s="1244"/>
      <c r="AK14" s="1244"/>
      <c r="AL14" s="1244"/>
      <c r="AM14" s="1244"/>
      <c r="AO14" s="702"/>
      <c r="AP14" s="702" t="str">
        <f t="shared" si="0"/>
        <v>Добавить централизованную систему для дифференциации</v>
      </c>
      <c r="AQ14" s="702"/>
      <c r="AR14" s="702"/>
    </row>
    <row r="15" spans="1:44" s="1559" customFormat="1" ht="0.75" hidden="1" customHeight="1">
      <c r="A15" s="1234"/>
      <c r="B15" s="1234"/>
      <c r="C15" s="1234"/>
      <c r="D15" s="1234"/>
      <c r="E15" s="2076"/>
      <c r="F15" s="1234"/>
      <c r="G15" s="1234"/>
      <c r="H15" s="1234"/>
      <c r="I15" s="1234"/>
      <c r="J15" s="1234"/>
      <c r="K15" s="1234"/>
      <c r="L15" s="1258"/>
      <c r="M15" s="1241"/>
      <c r="N15" s="1241"/>
      <c r="P15" s="1236"/>
      <c r="Q15" s="1237"/>
      <c r="R15" s="1236"/>
      <c r="S15" s="1242"/>
      <c r="T15" s="1245" t="s">
        <v>435</v>
      </c>
      <c r="U15" s="1244"/>
      <c r="V15" s="1244"/>
      <c r="W15" s="1244"/>
      <c r="X15" s="1244"/>
      <c r="Y15" s="1244"/>
      <c r="Z15" s="1244"/>
      <c r="AA15" s="1244"/>
      <c r="AB15" s="1244"/>
      <c r="AC15" s="1244"/>
      <c r="AD15" s="1244"/>
      <c r="AE15" s="1244"/>
      <c r="AF15" s="1244"/>
      <c r="AG15" s="1244"/>
      <c r="AH15" s="1244"/>
      <c r="AI15" s="1244"/>
      <c r="AJ15" s="1244"/>
      <c r="AK15" s="1244"/>
      <c r="AL15" s="1244"/>
      <c r="AM15" s="1244"/>
      <c r="AO15" s="702"/>
      <c r="AP15" s="702" t="str">
        <f t="shared" si="0"/>
        <v>Добавить территорию для дифференциации</v>
      </c>
      <c r="AQ15" s="702"/>
      <c r="AR15" s="702"/>
    </row>
    <row r="16" spans="1:44" ht="14.25" hidden="1" customHeight="1">
      <c r="AC16" s="249"/>
      <c r="AK16" s="249"/>
    </row>
    <row r="17" spans="1:44" ht="14.25" hidden="1" customHeight="1">
      <c r="AD17" s="1278"/>
      <c r="AE17" s="1278"/>
      <c r="AF17" s="1278"/>
      <c r="AG17" s="1279"/>
      <c r="AH17" s="2074"/>
      <c r="AI17" s="2073" t="s">
        <v>59</v>
      </c>
      <c r="AJ17" s="2074"/>
      <c r="AK17" s="2073" t="s">
        <v>59</v>
      </c>
    </row>
    <row r="18" spans="1:44" ht="14.25" hidden="1" customHeight="1">
      <c r="AD18" s="1278"/>
      <c r="AE18" s="1278"/>
      <c r="AF18" s="1278"/>
      <c r="AG18" s="250" t="str">
        <f>AH17&amp;"-"&amp;AJ17</f>
        <v>-</v>
      </c>
      <c r="AH18" s="2073"/>
      <c r="AI18" s="2073"/>
      <c r="AJ18" s="2073"/>
      <c r="AK18" s="2073"/>
    </row>
    <row r="19" spans="1:44" ht="14.25" hidden="1" customHeight="1">
      <c r="AK19" s="249"/>
    </row>
    <row r="20" spans="1:44" s="1284" customFormat="1" ht="22.5" hidden="1" customHeight="1">
      <c r="L20" s="1248"/>
      <c r="M20" s="1280"/>
      <c r="N20" s="1280"/>
      <c r="O20" s="1285" t="s">
        <v>477</v>
      </c>
      <c r="P20" s="1280"/>
      <c r="Q20" s="1289"/>
      <c r="R20" s="1289"/>
      <c r="S20" s="645"/>
      <c r="Z20" s="1285"/>
      <c r="AB20" s="1285"/>
      <c r="AH20" s="1285"/>
      <c r="AJ20" s="1285"/>
      <c r="AN20" s="437"/>
      <c r="AO20" s="437"/>
      <c r="AP20" s="437"/>
      <c r="AQ20" s="437"/>
      <c r="AR20" s="437"/>
    </row>
    <row r="21" spans="1:44" s="1284" customFormat="1" ht="14.25" hidden="1" customHeight="1">
      <c r="L21" s="1248"/>
      <c r="M21" s="1280"/>
      <c r="N21" s="1280"/>
      <c r="O21" s="1280"/>
      <c r="P21" s="1280"/>
      <c r="Q21" s="1289"/>
      <c r="R21" s="1289"/>
      <c r="S21" s="645"/>
      <c r="AN21" s="437"/>
      <c r="AO21" s="437"/>
      <c r="AP21" s="437"/>
      <c r="AQ21" s="437"/>
      <c r="AR21" s="437"/>
    </row>
    <row r="22" spans="1:44" s="1284" customFormat="1" ht="33.75" hidden="1" customHeight="1">
      <c r="L22" s="1248"/>
      <c r="M22" s="1280"/>
      <c r="N22" s="1280"/>
      <c r="O22" s="1282" t="s">
        <v>478</v>
      </c>
      <c r="P22" s="1280"/>
      <c r="Q22" s="1289"/>
      <c r="R22" s="1289"/>
      <c r="S22" s="645"/>
      <c r="T22" s="1062" t="s">
        <v>479</v>
      </c>
      <c r="AA22" s="104" t="s">
        <v>480</v>
      </c>
      <c r="AC22" s="104" t="s">
        <v>481</v>
      </c>
      <c r="AD22" s="1062" t="s">
        <v>479</v>
      </c>
      <c r="AI22" s="104" t="s">
        <v>482</v>
      </c>
      <c r="AK22" s="104" t="s">
        <v>481</v>
      </c>
      <c r="AN22" s="437"/>
      <c r="AO22" s="437"/>
      <c r="AP22" s="437"/>
      <c r="AQ22" s="437"/>
      <c r="AR22" s="437"/>
    </row>
    <row r="23" spans="1:44" ht="14.25" hidden="1" customHeight="1">
      <c r="O23" s="1282"/>
    </row>
    <row r="24" spans="1:44" ht="14.25" hidden="1" customHeight="1">
      <c r="O24" s="1282"/>
    </row>
    <row r="25" spans="1:44" ht="14.25" customHeight="1">
      <c r="Q25" s="300"/>
      <c r="R25" s="300"/>
      <c r="S25" s="1197"/>
      <c r="T25" s="286"/>
      <c r="U25" s="286"/>
      <c r="V25" s="435"/>
      <c r="W25" s="435"/>
      <c r="X25" s="435"/>
      <c r="Y25" s="435"/>
      <c r="Z25" s="435"/>
      <c r="AA25" s="435"/>
      <c r="AB25" s="435"/>
      <c r="AC25" s="435"/>
      <c r="AD25" s="435"/>
      <c r="AE25" s="435"/>
      <c r="AF25" s="435"/>
      <c r="AG25" s="435"/>
      <c r="AH25" s="435"/>
      <c r="AI25" s="435"/>
      <c r="AJ25" s="435"/>
      <c r="AK25" s="435"/>
    </row>
    <row r="26" spans="1:44" ht="88.5" customHeight="1">
      <c r="Q26" s="300"/>
      <c r="R26" s="300"/>
      <c r="S26" s="2101"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101"/>
      <c r="U26" s="2101"/>
      <c r="V26" s="2101"/>
      <c r="W26" s="2101"/>
      <c r="X26" s="2101"/>
      <c r="Y26" s="2101"/>
      <c r="Z26" s="2101"/>
      <c r="AA26" s="2101"/>
      <c r="AB26" s="2101"/>
      <c r="AC26" s="2101"/>
      <c r="AD26" s="2101"/>
      <c r="AE26" s="2101"/>
      <c r="AF26" s="2101"/>
      <c r="AG26" s="2101"/>
      <c r="AH26" s="2101"/>
      <c r="AI26" s="2101"/>
      <c r="AJ26" s="2101"/>
      <c r="AK26" s="1154"/>
    </row>
    <row r="27" spans="1:44" ht="14.25" customHeight="1">
      <c r="Q27" s="300"/>
      <c r="R27" s="300"/>
      <c r="S27" s="1961" t="str">
        <f>IF(org=0,"Не определено",org)</f>
        <v>АО СЗ "КМАпроектжилстрой"</v>
      </c>
      <c r="T27" s="1961"/>
      <c r="U27" s="1961"/>
      <c r="V27" s="1961"/>
      <c r="W27" s="1961"/>
      <c r="X27" s="1961"/>
      <c r="Y27" s="1961"/>
      <c r="Z27" s="1961"/>
      <c r="AA27" s="1961"/>
      <c r="AB27" s="1961"/>
      <c r="AC27" s="1961"/>
      <c r="AD27" s="1961"/>
      <c r="AE27" s="1961"/>
      <c r="AF27" s="1961"/>
      <c r="AG27" s="1961"/>
      <c r="AH27" s="1961"/>
      <c r="AI27" s="1961"/>
      <c r="AJ27" s="1961"/>
      <c r="AK27" s="1154"/>
    </row>
    <row r="28" spans="1:44" ht="14.25" hidden="1" customHeight="1">
      <c r="Q28" s="300"/>
      <c r="R28" s="300"/>
      <c r="S28" s="1197"/>
      <c r="T28" s="286"/>
      <c r="U28" s="286"/>
      <c r="V28" s="242"/>
      <c r="W28" s="242"/>
      <c r="X28" s="242"/>
      <c r="Y28" s="242"/>
      <c r="Z28" s="242"/>
      <c r="AA28" s="242"/>
      <c r="AB28" s="242"/>
      <c r="AC28" s="242"/>
      <c r="AD28" s="242"/>
      <c r="AE28" s="242"/>
      <c r="AF28" s="242"/>
      <c r="AG28" s="242"/>
      <c r="AH28" s="242"/>
      <c r="AI28" s="242"/>
      <c r="AJ28" s="242"/>
      <c r="AK28" s="242"/>
      <c r="AL28" s="435"/>
    </row>
    <row r="29" spans="1:44" s="1773" customFormat="1" ht="25.5" hidden="1" customHeight="1">
      <c r="A29" s="1286"/>
      <c r="B29" s="1286"/>
      <c r="C29" s="1286"/>
      <c r="D29" s="1286"/>
      <c r="E29" s="1286"/>
      <c r="F29" s="1286"/>
      <c r="G29" s="1286"/>
      <c r="H29" s="1286"/>
      <c r="I29" s="1286"/>
      <c r="J29" s="1286"/>
      <c r="K29" s="1286"/>
      <c r="L29" s="1287"/>
      <c r="M29" s="1286"/>
      <c r="N29" s="1286"/>
      <c r="O29" s="1286"/>
      <c r="S29" s="2067" t="s">
        <v>40</v>
      </c>
      <c r="T29" s="2067"/>
      <c r="U29" s="1290"/>
      <c r="V29" s="2069" t="str">
        <f>IF(TITLE_NAME_OR_PR_CHANGE="",IF(TITLE_NAME_OR_PR="","",TITLE_NAME_OR_PR),TITLE_NAME_OR_PR_CHANGE)</f>
        <v/>
      </c>
      <c r="W29" s="2069"/>
      <c r="X29" s="2069"/>
      <c r="Y29" s="2069"/>
      <c r="Z29" s="2069"/>
      <c r="AA29" s="2069"/>
      <c r="AB29" s="2069"/>
      <c r="AC29" s="248"/>
      <c r="AD29" s="2069" t="str">
        <f>IF(TITLE_NAME_OR_PR_CHANGE="",IF(TITLE_NAME_OR_PR="","",TITLE_NAME_OR_PR),TITLE_NAME_OR_PR_CHANGE)</f>
        <v/>
      </c>
      <c r="AE29" s="2069"/>
      <c r="AF29" s="2069"/>
      <c r="AG29" s="2069"/>
      <c r="AH29" s="2069"/>
      <c r="AI29" s="2069"/>
      <c r="AJ29" s="2069"/>
      <c r="AK29" s="248"/>
      <c r="AL29" s="248"/>
      <c r="AM29" s="196"/>
      <c r="AN29" s="292"/>
      <c r="AO29" s="292"/>
      <c r="AP29" s="292"/>
      <c r="AQ29" s="292"/>
      <c r="AR29" s="292"/>
    </row>
    <row r="30" spans="1:44" s="1773" customFormat="1" ht="18.75" hidden="1" customHeight="1">
      <c r="A30" s="1286"/>
      <c r="B30" s="1286"/>
      <c r="C30" s="1286"/>
      <c r="D30" s="1286"/>
      <c r="E30" s="1286"/>
      <c r="F30" s="1286"/>
      <c r="G30" s="1286"/>
      <c r="H30" s="1286"/>
      <c r="I30" s="1286"/>
      <c r="J30" s="1286"/>
      <c r="K30" s="1286"/>
      <c r="L30" s="1287"/>
      <c r="M30" s="1286"/>
      <c r="N30" s="1286"/>
      <c r="O30" s="1286"/>
      <c r="S30" s="2067" t="s">
        <v>483</v>
      </c>
      <c r="T30" s="2067"/>
      <c r="U30" s="1290"/>
      <c r="V30" s="2068" t="str">
        <f>IF(TITLE_DATE_CHANGE_PERIOD="",IF(TITLE_DATE_PR="","",TITLE_DATE_PR),TITLE_DATE_CHANGE_PERIOD)</f>
        <v/>
      </c>
      <c r="W30" s="2068"/>
      <c r="X30" s="2068"/>
      <c r="Y30" s="2068"/>
      <c r="Z30" s="2068"/>
      <c r="AA30" s="2068"/>
      <c r="AB30" s="2068"/>
      <c r="AC30" s="248"/>
      <c r="AD30" s="2068" t="str">
        <f>IF(TITLE_DATE_CHANGE_PERIOD="",IF(TITLE_DATE_PR="","",TITLE_DATE_PR),TITLE_DATE_CHANGE_PERIOD)</f>
        <v/>
      </c>
      <c r="AE30" s="2068"/>
      <c r="AF30" s="2068"/>
      <c r="AG30" s="2068"/>
      <c r="AH30" s="2068"/>
      <c r="AI30" s="2068"/>
      <c r="AJ30" s="2068"/>
      <c r="AK30" s="248"/>
      <c r="AL30" s="248"/>
      <c r="AM30" s="196"/>
      <c r="AN30" s="292"/>
      <c r="AO30" s="292"/>
      <c r="AP30" s="292"/>
      <c r="AQ30" s="292"/>
      <c r="AR30" s="292"/>
    </row>
    <row r="31" spans="1:44" s="1773" customFormat="1" ht="18.75" hidden="1" customHeight="1">
      <c r="A31" s="1286"/>
      <c r="B31" s="1286"/>
      <c r="C31" s="1286"/>
      <c r="D31" s="1286"/>
      <c r="E31" s="1286"/>
      <c r="F31" s="1286"/>
      <c r="G31" s="1286"/>
      <c r="H31" s="1286"/>
      <c r="I31" s="1286"/>
      <c r="J31" s="1286"/>
      <c r="K31" s="1286"/>
      <c r="L31" s="1287"/>
      <c r="M31" s="1286"/>
      <c r="N31" s="1286"/>
      <c r="O31" s="1286"/>
      <c r="S31" s="2067" t="s">
        <v>484</v>
      </c>
      <c r="T31" s="2067"/>
      <c r="U31" s="1290"/>
      <c r="V31" s="2069" t="str">
        <f>IF(TITLE_NUMBER_PR_CHANGE="",IF(TITLE_NUMBER_PR="","",TITLE_NUMBER_PR),TITLE_NUMBER_PR_CHANGE)</f>
        <v/>
      </c>
      <c r="W31" s="2069"/>
      <c r="X31" s="2069"/>
      <c r="Y31" s="2069"/>
      <c r="Z31" s="2069"/>
      <c r="AA31" s="2069"/>
      <c r="AB31" s="2069"/>
      <c r="AC31" s="248"/>
      <c r="AD31" s="2069" t="str">
        <f>IF(TITLE_NUMBER_PR_CHANGE="",IF(TITLE_NUMBER_PR="","",TITLE_NUMBER_PR),TITLE_NUMBER_PR_CHANGE)</f>
        <v/>
      </c>
      <c r="AE31" s="2069"/>
      <c r="AF31" s="2069"/>
      <c r="AG31" s="2069"/>
      <c r="AH31" s="2069"/>
      <c r="AI31" s="2069"/>
      <c r="AJ31" s="2069"/>
      <c r="AK31" s="248"/>
      <c r="AL31" s="248"/>
      <c r="AM31" s="196"/>
      <c r="AN31" s="292"/>
      <c r="AO31" s="292"/>
      <c r="AP31" s="292"/>
      <c r="AQ31" s="292"/>
      <c r="AR31" s="292"/>
    </row>
    <row r="32" spans="1:44" s="1773" customFormat="1" ht="18.75" hidden="1" customHeight="1">
      <c r="A32" s="1286"/>
      <c r="B32" s="1286"/>
      <c r="C32" s="1286"/>
      <c r="D32" s="1286"/>
      <c r="E32" s="1286"/>
      <c r="F32" s="1286"/>
      <c r="G32" s="1286"/>
      <c r="H32" s="1286"/>
      <c r="I32" s="1286"/>
      <c r="J32" s="1286"/>
      <c r="K32" s="1286"/>
      <c r="L32" s="1287"/>
      <c r="M32" s="1286"/>
      <c r="N32" s="1286"/>
      <c r="O32" s="1286"/>
      <c r="S32" s="2067" t="s">
        <v>41</v>
      </c>
      <c r="T32" s="2067"/>
      <c r="U32" s="1290"/>
      <c r="V32" s="2069" t="str">
        <f>IF(TITLE_IST_PUB_CHANGE="",IF(TITLE_IST_PUB="","",TITLE_IST_PUB),TITLE_IST_PUB_CHANGE)</f>
        <v/>
      </c>
      <c r="W32" s="2069"/>
      <c r="X32" s="2069"/>
      <c r="Y32" s="2069"/>
      <c r="Z32" s="2069"/>
      <c r="AA32" s="2069"/>
      <c r="AB32" s="2069"/>
      <c r="AC32" s="248"/>
      <c r="AD32" s="2069" t="str">
        <f>IF(TITLE_IST_PUB_CHANGE="",IF(TITLE_IST_PUB="","",TITLE_IST_PUB),TITLE_IST_PUB_CHANGE)</f>
        <v/>
      </c>
      <c r="AE32" s="2069"/>
      <c r="AF32" s="2069"/>
      <c r="AG32" s="2069"/>
      <c r="AH32" s="2069"/>
      <c r="AI32" s="2069"/>
      <c r="AJ32" s="2069"/>
      <c r="AK32" s="248"/>
      <c r="AL32" s="248"/>
      <c r="AM32" s="196"/>
      <c r="AN32" s="292"/>
      <c r="AO32" s="292"/>
      <c r="AP32" s="292"/>
      <c r="AQ32" s="292"/>
      <c r="AR32" s="292"/>
    </row>
    <row r="33" spans="1:44" ht="14.25" hidden="1" customHeight="1">
      <c r="Q33" s="300"/>
      <c r="R33" s="300"/>
      <c r="S33" s="1197"/>
      <c r="T33" s="286"/>
      <c r="U33" s="286"/>
      <c r="V33" s="242"/>
      <c r="W33" s="242"/>
      <c r="X33" s="242"/>
      <c r="Y33" s="242"/>
      <c r="Z33" s="242"/>
      <c r="AA33" s="242"/>
      <c r="AB33" s="242"/>
      <c r="AC33" s="242"/>
      <c r="AD33" s="242"/>
      <c r="AE33" s="242"/>
      <c r="AF33" s="242"/>
      <c r="AG33" s="242"/>
      <c r="AH33" s="242"/>
      <c r="AI33" s="242"/>
      <c r="AJ33" s="242"/>
      <c r="AK33" s="242"/>
      <c r="AL33" s="435"/>
    </row>
    <row r="34" spans="1:44" s="1773" customFormat="1" ht="18.75" hidden="1" customHeight="1">
      <c r="A34" s="1286"/>
      <c r="B34" s="1286"/>
      <c r="C34" s="1286"/>
      <c r="D34" s="1286"/>
      <c r="E34" s="1286"/>
      <c r="F34" s="1286"/>
      <c r="G34" s="1286"/>
      <c r="H34" s="1286"/>
      <c r="I34" s="1286"/>
      <c r="J34" s="1286"/>
      <c r="K34" s="1286"/>
      <c r="L34" s="1287"/>
      <c r="M34" s="1286"/>
      <c r="N34" s="1286"/>
      <c r="O34" s="1286"/>
      <c r="S34" s="2067" t="s">
        <v>485</v>
      </c>
      <c r="T34" s="2067"/>
      <c r="U34" s="1290"/>
      <c r="V34" s="2068" t="str">
        <f>IF(TITLE_DATE_CHANGE_PERIOD="",IF(TITLE_DATE_PR="","",TITLE_DATE_PR),TITLE_DATE_CHANGE_PERIOD)</f>
        <v/>
      </c>
      <c r="W34" s="2068"/>
      <c r="X34" s="2068"/>
      <c r="Y34" s="2068"/>
      <c r="Z34" s="2068"/>
      <c r="AA34" s="2068"/>
      <c r="AB34" s="2068"/>
      <c r="AC34" s="248"/>
      <c r="AD34" s="2068" t="str">
        <f>IF(TITLE_DATE_CHANGE_PERIOD="",IF(TITLE_DATE_PR="","",TITLE_DATE_PR),TITLE_DATE_CHANGE_PERIOD)</f>
        <v/>
      </c>
      <c r="AE34" s="2068"/>
      <c r="AF34" s="2068"/>
      <c r="AG34" s="2068"/>
      <c r="AH34" s="2068"/>
      <c r="AI34" s="2068"/>
      <c r="AJ34" s="2068"/>
      <c r="AK34" s="248"/>
      <c r="AL34" s="248"/>
      <c r="AM34" s="196"/>
      <c r="AN34" s="292"/>
      <c r="AO34" s="292"/>
      <c r="AP34" s="292"/>
      <c r="AQ34" s="292"/>
      <c r="AR34" s="292"/>
    </row>
    <row r="35" spans="1:44" s="1773" customFormat="1" ht="18.75" hidden="1" customHeight="1">
      <c r="A35" s="1286"/>
      <c r="B35" s="1286"/>
      <c r="C35" s="1286"/>
      <c r="D35" s="1286"/>
      <c r="E35" s="1286"/>
      <c r="F35" s="1286"/>
      <c r="G35" s="1286"/>
      <c r="H35" s="1286"/>
      <c r="I35" s="1286"/>
      <c r="J35" s="1286"/>
      <c r="K35" s="1286"/>
      <c r="L35" s="1287"/>
      <c r="M35" s="1286"/>
      <c r="N35" s="1286"/>
      <c r="O35" s="1286"/>
      <c r="S35" s="2067" t="s">
        <v>486</v>
      </c>
      <c r="T35" s="2067"/>
      <c r="U35" s="1290"/>
      <c r="V35" s="2069" t="str">
        <f>IF(TITLE_NUMBER_PR_CHANGE="",IF(TITLE_NUMBER_PR="","",TITLE_NUMBER_PR),TITLE_NUMBER_PR_CHANGE)</f>
        <v/>
      </c>
      <c r="W35" s="2069"/>
      <c r="X35" s="2069"/>
      <c r="Y35" s="2069"/>
      <c r="Z35" s="2069"/>
      <c r="AA35" s="2069"/>
      <c r="AB35" s="2069"/>
      <c r="AC35" s="248"/>
      <c r="AD35" s="2069" t="str">
        <f>IF(TITLE_NUMBER_PR_CHANGE="",IF(TITLE_NUMBER_PR="","",TITLE_NUMBER_PR),TITLE_NUMBER_PR_CHANGE)</f>
        <v/>
      </c>
      <c r="AE35" s="2069"/>
      <c r="AF35" s="2069"/>
      <c r="AG35" s="2069"/>
      <c r="AH35" s="2069"/>
      <c r="AI35" s="2069"/>
      <c r="AJ35" s="2069"/>
      <c r="AK35" s="248"/>
      <c r="AL35" s="248"/>
      <c r="AM35" s="196"/>
      <c r="AN35" s="292"/>
      <c r="AO35" s="292"/>
      <c r="AP35" s="292"/>
      <c r="AQ35" s="292"/>
      <c r="AR35" s="292"/>
    </row>
    <row r="36" spans="1:44" s="1773" customFormat="1" ht="0" hidden="1" customHeight="1">
      <c r="A36" s="1286"/>
      <c r="B36" s="1286"/>
      <c r="C36" s="1286"/>
      <c r="D36" s="1286"/>
      <c r="E36" s="1286"/>
      <c r="F36" s="1286"/>
      <c r="G36" s="1286"/>
      <c r="H36" s="1286"/>
      <c r="I36" s="1286"/>
      <c r="J36" s="1286"/>
      <c r="K36" s="1286"/>
      <c r="L36" s="1287"/>
      <c r="M36" s="1286"/>
      <c r="N36" s="1286"/>
      <c r="O36" s="1286"/>
      <c r="S36" s="244"/>
      <c r="T36" s="244"/>
      <c r="U36" s="1259"/>
      <c r="V36" s="248"/>
      <c r="W36" s="248"/>
      <c r="X36" s="248"/>
      <c r="Y36" s="248"/>
      <c r="Z36" s="248"/>
      <c r="AA36" s="248"/>
      <c r="AB36" s="248"/>
      <c r="AC36" s="194" t="s">
        <v>487</v>
      </c>
      <c r="AD36" s="248"/>
      <c r="AE36" s="248"/>
      <c r="AF36" s="248"/>
      <c r="AG36" s="248"/>
      <c r="AH36" s="248"/>
      <c r="AI36" s="248"/>
      <c r="AJ36" s="248"/>
      <c r="AK36" s="194" t="s">
        <v>487</v>
      </c>
      <c r="AN36" s="292"/>
      <c r="AO36" s="292"/>
      <c r="AP36" s="292"/>
      <c r="AQ36" s="292"/>
      <c r="AR36" s="292"/>
    </row>
    <row r="37" spans="1:44" ht="14.25" customHeight="1">
      <c r="Q37" s="300"/>
      <c r="R37" s="300"/>
      <c r="S37" s="1197"/>
      <c r="T37" s="286"/>
      <c r="U37" s="1155"/>
      <c r="V37" s="2087"/>
      <c r="W37" s="2087"/>
      <c r="X37" s="2087"/>
      <c r="Y37" s="2087"/>
      <c r="Z37" s="2087"/>
      <c r="AA37" s="2087"/>
      <c r="AB37" s="2087"/>
      <c r="AC37" s="2087"/>
      <c r="AD37" s="2087"/>
      <c r="AE37" s="2087"/>
      <c r="AF37" s="2087"/>
      <c r="AG37" s="2087"/>
      <c r="AH37" s="2087"/>
      <c r="AI37" s="2087"/>
      <c r="AJ37" s="2087"/>
      <c r="AK37" s="2087"/>
    </row>
    <row r="38" spans="1:44" ht="14.25" customHeight="1">
      <c r="Q38" s="300"/>
      <c r="R38" s="300"/>
      <c r="S38" s="1874" t="s">
        <v>291</v>
      </c>
      <c r="T38" s="1874"/>
      <c r="U38" s="1874"/>
      <c r="V38" s="1874"/>
      <c r="W38" s="1874"/>
      <c r="X38" s="1874"/>
      <c r="Y38" s="1874"/>
      <c r="Z38" s="1874"/>
      <c r="AA38" s="1874"/>
      <c r="AB38" s="1874"/>
      <c r="AC38" s="1874"/>
      <c r="AD38" s="1874"/>
      <c r="AE38" s="1874"/>
      <c r="AF38" s="1874"/>
      <c r="AG38" s="1874"/>
      <c r="AH38" s="1874"/>
      <c r="AI38" s="1874"/>
      <c r="AJ38" s="1874"/>
      <c r="AK38" s="1874"/>
      <c r="AL38" s="1874"/>
      <c r="AM38" s="1874" t="s">
        <v>292</v>
      </c>
    </row>
    <row r="39" spans="1:44" ht="14.25" customHeight="1">
      <c r="Q39" s="300"/>
      <c r="R39" s="300"/>
      <c r="S39" s="2088" t="s">
        <v>88</v>
      </c>
      <c r="T39" s="1959" t="s">
        <v>488</v>
      </c>
      <c r="U39" s="215"/>
      <c r="V39" s="2089" t="s">
        <v>489</v>
      </c>
      <c r="W39" s="2090"/>
      <c r="X39" s="2104"/>
      <c r="Y39" s="2104"/>
      <c r="Z39" s="2090"/>
      <c r="AA39" s="2090"/>
      <c r="AB39" s="2091"/>
      <c r="AC39" s="2092" t="s">
        <v>490</v>
      </c>
      <c r="AD39" s="2089" t="s">
        <v>489</v>
      </c>
      <c r="AE39" s="2090"/>
      <c r="AF39" s="2104"/>
      <c r="AG39" s="2104"/>
      <c r="AH39" s="2090"/>
      <c r="AI39" s="2090"/>
      <c r="AJ39" s="2091"/>
      <c r="AK39" s="2092" t="s">
        <v>491</v>
      </c>
      <c r="AL39" s="2095" t="s">
        <v>492</v>
      </c>
      <c r="AM39" s="1874"/>
    </row>
    <row r="40" spans="1:44" ht="23.25" customHeight="1">
      <c r="Q40" s="300"/>
      <c r="R40" s="300"/>
      <c r="S40" s="2088"/>
      <c r="T40" s="1959"/>
      <c r="U40" s="939"/>
      <c r="V40" s="2102" t="s">
        <v>493</v>
      </c>
      <c r="W40" s="1929" t="s">
        <v>494</v>
      </c>
      <c r="X40" s="1294" t="s">
        <v>495</v>
      </c>
      <c r="Y40" s="1294"/>
      <c r="Z40" s="1861" t="s">
        <v>496</v>
      </c>
      <c r="AA40" s="1861"/>
      <c r="AB40" s="1855"/>
      <c r="AC40" s="2093"/>
      <c r="AD40" s="2102" t="s">
        <v>493</v>
      </c>
      <c r="AE40" s="1929" t="s">
        <v>494</v>
      </c>
      <c r="AF40" s="1294" t="s">
        <v>495</v>
      </c>
      <c r="AG40" s="1294"/>
      <c r="AH40" s="1861" t="s">
        <v>496</v>
      </c>
      <c r="AI40" s="1861"/>
      <c r="AJ40" s="1855"/>
      <c r="AK40" s="2093"/>
      <c r="AL40" s="2096"/>
      <c r="AM40" s="1874"/>
    </row>
    <row r="41" spans="1:44" s="1187" customFormat="1" ht="23.25" customHeight="1">
      <c r="A41" s="1288"/>
      <c r="B41" s="1288" t="s">
        <v>140</v>
      </c>
      <c r="C41" s="1288" t="s">
        <v>141</v>
      </c>
      <c r="D41" s="1288" t="s">
        <v>142</v>
      </c>
      <c r="E41" s="1282" t="s">
        <v>497</v>
      </c>
      <c r="F41" s="1282" t="s">
        <v>498</v>
      </c>
      <c r="G41" s="1282" t="s">
        <v>499</v>
      </c>
      <c r="H41" s="1282" t="s">
        <v>500</v>
      </c>
      <c r="I41" s="1282" t="s">
        <v>501</v>
      </c>
      <c r="J41" s="1282" t="s">
        <v>502</v>
      </c>
      <c r="K41" s="1282" t="s">
        <v>503</v>
      </c>
      <c r="L41" s="1282" t="s">
        <v>478</v>
      </c>
      <c r="M41" s="1280"/>
      <c r="N41" s="1280"/>
      <c r="O41" s="1280"/>
      <c r="P41" s="1247"/>
      <c r="Q41" s="300"/>
      <c r="R41" s="300"/>
      <c r="S41" s="2088"/>
      <c r="T41" s="1959"/>
      <c r="U41" s="216"/>
      <c r="V41" s="2103"/>
      <c r="W41" s="1934"/>
      <c r="X41" s="1291" t="s">
        <v>504</v>
      </c>
      <c r="Y41" s="1291" t="s">
        <v>505</v>
      </c>
      <c r="Z41" s="1253" t="s">
        <v>506</v>
      </c>
      <c r="AA41" s="1965" t="s">
        <v>507</v>
      </c>
      <c r="AB41" s="1979"/>
      <c r="AC41" s="2094"/>
      <c r="AD41" s="2103"/>
      <c r="AE41" s="1934"/>
      <c r="AF41" s="1291" t="s">
        <v>504</v>
      </c>
      <c r="AG41" s="1291" t="s">
        <v>505</v>
      </c>
      <c r="AH41" s="1253" t="s">
        <v>506</v>
      </c>
      <c r="AI41" s="1965" t="s">
        <v>507</v>
      </c>
      <c r="AJ41" s="1979"/>
      <c r="AK41" s="2094"/>
      <c r="AL41" s="2097"/>
      <c r="AM41" s="1874"/>
      <c r="AN41" s="437"/>
      <c r="AO41" s="426"/>
      <c r="AP41" s="426"/>
      <c r="AQ41" s="426"/>
      <c r="AR41" s="426"/>
    </row>
    <row r="42" spans="1:44" s="1558" customFormat="1" ht="11.25" hidden="1" customHeight="1">
      <c r="A42" s="1288"/>
      <c r="B42" s="1288"/>
      <c r="C42" s="1288"/>
      <c r="D42" s="1288"/>
      <c r="E42" s="1288"/>
      <c r="F42" s="1288"/>
      <c r="G42" s="1288"/>
      <c r="H42" s="1288"/>
      <c r="I42" s="1288"/>
      <c r="J42" s="1288"/>
      <c r="K42" s="1288"/>
      <c r="L42" s="1282"/>
      <c r="M42" s="1280"/>
      <c r="N42" s="1280"/>
      <c r="O42" s="1280"/>
      <c r="P42" s="1157"/>
      <c r="Q42" s="1158"/>
      <c r="R42" s="1173">
        <v>1</v>
      </c>
      <c r="S42" s="1199" t="s">
        <v>109</v>
      </c>
      <c r="T42" s="1174" t="s">
        <v>110</v>
      </c>
      <c r="U42" s="1156" t="str">
        <f ca="1">OFFSET(U42,0,-1)</f>
        <v>2</v>
      </c>
      <c r="V42" s="1254">
        <f ca="1">OFFSET(V42,0,-1)+1</f>
        <v>3</v>
      </c>
      <c r="W42" s="1254"/>
      <c r="X42" s="1260">
        <f ca="1">OFFSET(X42,0,-1)+1</f>
        <v>1</v>
      </c>
      <c r="Y42" s="1260">
        <f ca="1">OFFSET(Y42,0,-1)+1</f>
        <v>2</v>
      </c>
      <c r="Z42" s="1254">
        <f ca="1">OFFSET(Z42,0,-1)+1</f>
        <v>3</v>
      </c>
      <c r="AA42" s="2086">
        <f ca="1">OFFSET(AA42,0,-1)+1</f>
        <v>4</v>
      </c>
      <c r="AB42" s="2086"/>
      <c r="AC42" s="1254">
        <f ca="1">OFFSET(AC42,0,-2)+1</f>
        <v>5</v>
      </c>
      <c r="AD42" s="1254">
        <f ca="1">OFFSET(AD42,0,-1)+1</f>
        <v>6</v>
      </c>
      <c r="AE42" s="1254"/>
      <c r="AF42" s="1260">
        <f ca="1">OFFSET(AF42,0,-1)+1</f>
        <v>1</v>
      </c>
      <c r="AG42" s="1260">
        <f ca="1">OFFSET(AG42,0,-1)+1</f>
        <v>2</v>
      </c>
      <c r="AH42" s="1254">
        <f ca="1">OFFSET(AH42,0,-1)+1</f>
        <v>3</v>
      </c>
      <c r="AI42" s="2086">
        <f ca="1">OFFSET(AI42,0,-1)+1</f>
        <v>4</v>
      </c>
      <c r="AJ42" s="2086"/>
      <c r="AK42" s="1254">
        <f ca="1">OFFSET(AK42,0,-2)+1</f>
        <v>5</v>
      </c>
      <c r="AL42" s="1156">
        <f ca="1">OFFSET(AL42,0,-1)</f>
        <v>5</v>
      </c>
      <c r="AM42" s="1254">
        <f ca="1">OFFSET(AM42,0,-1)+1</f>
        <v>6</v>
      </c>
      <c r="AN42" s="437"/>
      <c r="AO42" s="437"/>
      <c r="AP42" s="437"/>
      <c r="AQ42" s="437"/>
      <c r="AR42" s="437"/>
    </row>
    <row r="43" spans="1:44" ht="21" customHeight="1">
      <c r="A43" s="1281" t="s">
        <v>197</v>
      </c>
      <c r="B43" s="1281"/>
      <c r="C43" s="1281"/>
      <c r="D43" s="1281"/>
      <c r="E43" s="2076">
        <v>1</v>
      </c>
      <c r="F43" s="1281"/>
      <c r="G43" s="1281"/>
      <c r="H43" s="1281"/>
      <c r="I43" s="1281"/>
      <c r="J43" s="1281"/>
      <c r="K43" s="1281"/>
      <c r="L43" s="1282"/>
      <c r="M43" s="1283"/>
      <c r="N43" s="1283"/>
      <c r="O43" s="1283"/>
      <c r="P43" s="282"/>
      <c r="Q43" s="281"/>
      <c r="R43" s="276"/>
      <c r="S43" s="1255">
        <f>INDEX(PT_DIFFERENTIATION_NUM_NTAR,MATCH(A43,PT_DIFFERENTIATION_NTAR_ID,0))</f>
        <v>0</v>
      </c>
      <c r="T43" s="212" t="s">
        <v>128</v>
      </c>
      <c r="U43" s="214"/>
      <c r="V43" s="2070"/>
      <c r="W43" s="2071"/>
      <c r="X43" s="2071"/>
      <c r="Y43" s="2071"/>
      <c r="Z43" s="2071"/>
      <c r="AA43" s="2071"/>
      <c r="AB43" s="2071"/>
      <c r="AC43" s="2072"/>
      <c r="AD43" s="2070" t="str">
        <f>INDEX(PT_DIFFERENTIATION_NTAR,MATCH(A43,PT_DIFFERENTIATION_NTAR_ID,0))</f>
        <v/>
      </c>
      <c r="AE43" s="2071"/>
      <c r="AF43" s="2071"/>
      <c r="AG43" s="2071"/>
      <c r="AH43" s="2071"/>
      <c r="AI43" s="2071"/>
      <c r="AJ43" s="2071"/>
      <c r="AK43" s="2071"/>
      <c r="AL43" s="2072"/>
      <c r="AM43" s="1179"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426"/>
      <c r="AP43" s="426" t="str">
        <f t="shared" ref="AP43:AP57" si="1">IF(T43="","",T43)</f>
        <v>Наименование тарифа</v>
      </c>
      <c r="AQ43" s="426"/>
      <c r="AR43" s="426"/>
    </row>
    <row r="44" spans="1:44" ht="21" customHeight="1">
      <c r="A44" s="1281" t="s">
        <v>197</v>
      </c>
      <c r="B44" s="1281" t="s">
        <v>198</v>
      </c>
      <c r="C44" s="1281"/>
      <c r="D44" s="1281"/>
      <c r="E44" s="2077"/>
      <c r="F44" s="2076">
        <v>1</v>
      </c>
      <c r="G44" s="1281"/>
      <c r="H44" s="1281"/>
      <c r="I44" s="1281"/>
      <c r="J44" s="1281"/>
      <c r="K44" s="1281"/>
      <c r="L44" s="1282"/>
      <c r="M44" s="1283"/>
      <c r="N44" s="1283"/>
      <c r="O44" s="1283"/>
      <c r="P44" s="1251"/>
      <c r="Q44" s="273"/>
      <c r="R44" s="274"/>
      <c r="S44" s="1255" t="str">
        <f>INDEX(PT_DIFFERENTIATION_NUM_TER,MATCH(B44,PT_DIFFERENTIATION_TER_ID,0))</f>
        <v>.</v>
      </c>
      <c r="T44" s="224" t="s">
        <v>460</v>
      </c>
      <c r="U44" s="214"/>
      <c r="V44" s="2070"/>
      <c r="W44" s="2071"/>
      <c r="X44" s="2071"/>
      <c r="Y44" s="2071"/>
      <c r="Z44" s="2071"/>
      <c r="AA44" s="2071"/>
      <c r="AB44" s="2071"/>
      <c r="AC44" s="2072"/>
      <c r="AD44" s="2070" t="str">
        <f>INDEX(PT_DIFFERENTIATION_TER,MATCH(B44,PT_DIFFERENTIATION_TER_ID,0))</f>
        <v/>
      </c>
      <c r="AE44" s="2071"/>
      <c r="AF44" s="2071"/>
      <c r="AG44" s="2071"/>
      <c r="AH44" s="2071"/>
      <c r="AI44" s="2071"/>
      <c r="AJ44" s="2071"/>
      <c r="AK44" s="2071"/>
      <c r="AL44" s="2072"/>
      <c r="AM44" s="1179" t="s">
        <v>461</v>
      </c>
      <c r="AO44" s="426"/>
      <c r="AP44" s="426" t="str">
        <f t="shared" si="1"/>
        <v>Территория действия тарифа</v>
      </c>
      <c r="AQ44" s="426"/>
      <c r="AR44" s="426"/>
    </row>
    <row r="45" spans="1:44" ht="23.25" customHeight="1">
      <c r="A45" s="1281" t="s">
        <v>197</v>
      </c>
      <c r="B45" s="1281" t="s">
        <v>198</v>
      </c>
      <c r="C45" s="1281" t="s">
        <v>199</v>
      </c>
      <c r="D45" s="1281"/>
      <c r="E45" s="2077"/>
      <c r="F45" s="2077"/>
      <c r="G45" s="2076">
        <v>1</v>
      </c>
      <c r="H45" s="1281"/>
      <c r="I45" s="1281"/>
      <c r="J45" s="1281"/>
      <c r="K45" s="1281"/>
      <c r="L45" s="1282"/>
      <c r="M45" s="1283"/>
      <c r="N45" s="1283"/>
      <c r="O45" s="1283"/>
      <c r="P45" s="275"/>
      <c r="Q45" s="273"/>
      <c r="R45" s="274"/>
      <c r="S45" s="1255" t="str">
        <f>INDEX(PT_DIFFERENTIATION_NUM_CS,MATCH(C45,PT_DIFFERENTIATION_CS_ID,0))</f>
        <v>..</v>
      </c>
      <c r="T45" s="225" t="s">
        <v>462</v>
      </c>
      <c r="U45" s="214"/>
      <c r="V45" s="2070"/>
      <c r="W45" s="2071"/>
      <c r="X45" s="2071"/>
      <c r="Y45" s="2071"/>
      <c r="Z45" s="2071"/>
      <c r="AA45" s="2071"/>
      <c r="AB45" s="2071"/>
      <c r="AC45" s="2072"/>
      <c r="AD45" s="2070" t="str">
        <f>INDEX(PT_DIFFERENTIATION_CS,MATCH(C45,PT_DIFFERENTIATION_CS_ID,0))</f>
        <v/>
      </c>
      <c r="AE45" s="2071"/>
      <c r="AF45" s="2071"/>
      <c r="AG45" s="2071"/>
      <c r="AH45" s="2071"/>
      <c r="AI45" s="2071"/>
      <c r="AJ45" s="2071"/>
      <c r="AK45" s="2071"/>
      <c r="AL45" s="2072"/>
      <c r="AM45" s="1179" t="s">
        <v>463</v>
      </c>
      <c r="AO45" s="426"/>
      <c r="AP45" s="426" t="str">
        <f t="shared" si="1"/>
        <v xml:space="preserve">Наименование системы теплоснабжения </v>
      </c>
      <c r="AQ45" s="426"/>
      <c r="AR45" s="426"/>
    </row>
    <row r="46" spans="1:44" ht="21" customHeight="1">
      <c r="A46" s="1281" t="s">
        <v>197</v>
      </c>
      <c r="B46" s="1281" t="s">
        <v>198</v>
      </c>
      <c r="C46" s="1281" t="s">
        <v>199</v>
      </c>
      <c r="D46" s="1281" t="s">
        <v>200</v>
      </c>
      <c r="E46" s="2077"/>
      <c r="F46" s="2077"/>
      <c r="G46" s="2077"/>
      <c r="H46" s="2076">
        <v>1</v>
      </c>
      <c r="I46" s="1281"/>
      <c r="J46" s="1281"/>
      <c r="K46" s="1281"/>
      <c r="L46" s="1282"/>
      <c r="M46" s="1283"/>
      <c r="N46" s="1283"/>
      <c r="O46" s="1283"/>
      <c r="P46" s="275"/>
      <c r="Q46" s="273"/>
      <c r="R46" s="274"/>
      <c r="S46" s="1255" t="str">
        <f>INDEX(PT_DIFFERENTIATION_NUM_IST_TE,MATCH(D46,PT_DIFFERENTIATION_IST_TE_ID,0))</f>
        <v>...</v>
      </c>
      <c r="T46" s="226" t="s">
        <v>464</v>
      </c>
      <c r="U46" s="214"/>
      <c r="V46" s="2070"/>
      <c r="W46" s="2071"/>
      <c r="X46" s="2071"/>
      <c r="Y46" s="2071"/>
      <c r="Z46" s="2071"/>
      <c r="AA46" s="2071"/>
      <c r="AB46" s="2071"/>
      <c r="AC46" s="2072"/>
      <c r="AD46" s="2070" t="str">
        <f>INDEX(PT_DIFFERENTIATION_IST_TE,MATCH(D46,PT_DIFFERENTIATION_IST_TE_ID,0))</f>
        <v/>
      </c>
      <c r="AE46" s="2071"/>
      <c r="AF46" s="2071"/>
      <c r="AG46" s="2071"/>
      <c r="AH46" s="2071"/>
      <c r="AI46" s="2071"/>
      <c r="AJ46" s="2071"/>
      <c r="AK46" s="2071"/>
      <c r="AL46" s="2072"/>
      <c r="AM46" s="1179" t="s">
        <v>465</v>
      </c>
      <c r="AO46" s="426"/>
      <c r="AP46" s="426" t="str">
        <f t="shared" si="1"/>
        <v xml:space="preserve">Источник тепловой энергии  </v>
      </c>
      <c r="AQ46" s="426"/>
      <c r="AR46" s="426"/>
    </row>
    <row r="47" spans="1:44" ht="47.25" customHeight="1">
      <c r="A47" s="1281" t="s">
        <v>197</v>
      </c>
      <c r="B47" s="1281" t="s">
        <v>198</v>
      </c>
      <c r="C47" s="1281" t="s">
        <v>199</v>
      </c>
      <c r="D47" s="1281" t="s">
        <v>200</v>
      </c>
      <c r="E47" s="2077"/>
      <c r="F47" s="2077"/>
      <c r="G47" s="2077"/>
      <c r="H47" s="2077"/>
      <c r="I47" s="2078" t="str">
        <f>S46&amp;".1"</f>
        <v>....1</v>
      </c>
      <c r="J47" s="1281"/>
      <c r="K47" s="1281"/>
      <c r="L47" s="1282" t="s">
        <v>466</v>
      </c>
      <c r="P47" s="1995">
        <v>1</v>
      </c>
      <c r="Q47" s="1250"/>
      <c r="R47" s="277"/>
      <c r="S47" s="1255" t="str">
        <f>$I47</f>
        <v>....1</v>
      </c>
      <c r="T47" s="200" t="s">
        <v>467</v>
      </c>
      <c r="U47" s="214"/>
      <c r="V47" s="2064"/>
      <c r="W47" s="2065"/>
      <c r="X47" s="2065"/>
      <c r="Y47" s="2065"/>
      <c r="Z47" s="2065"/>
      <c r="AA47" s="2065"/>
      <c r="AB47" s="2065"/>
      <c r="AC47" s="2066"/>
      <c r="AD47" s="2064"/>
      <c r="AE47" s="2065"/>
      <c r="AF47" s="2065"/>
      <c r="AG47" s="2065"/>
      <c r="AH47" s="2065"/>
      <c r="AI47" s="2065"/>
      <c r="AJ47" s="2065"/>
      <c r="AK47" s="2065"/>
      <c r="AL47" s="2066"/>
      <c r="AM47" s="1179" t="s">
        <v>468</v>
      </c>
      <c r="AO47" s="426"/>
      <c r="AP47" s="426" t="str">
        <f t="shared" si="1"/>
        <v>Схема подключения теплопотребляющей установки к коллектору источника тепловой энергии</v>
      </c>
      <c r="AQ47" s="426"/>
      <c r="AR47" s="426"/>
    </row>
    <row r="48" spans="1:44" ht="21" customHeight="1">
      <c r="A48" s="1281" t="s">
        <v>197</v>
      </c>
      <c r="B48" s="1281" t="s">
        <v>198</v>
      </c>
      <c r="C48" s="1281" t="s">
        <v>199</v>
      </c>
      <c r="D48" s="1281" t="s">
        <v>200</v>
      </c>
      <c r="E48" s="2077"/>
      <c r="F48" s="2077"/>
      <c r="G48" s="2077"/>
      <c r="H48" s="2077"/>
      <c r="I48" s="2079"/>
      <c r="J48" s="2078" t="str">
        <f>I47&amp;".1"</f>
        <v>....1.1</v>
      </c>
      <c r="K48" s="1281"/>
      <c r="L48" s="1282" t="s">
        <v>469</v>
      </c>
      <c r="P48" s="1995"/>
      <c r="Q48" s="1995">
        <v>1</v>
      </c>
      <c r="R48" s="278"/>
      <c r="S48" s="1255" t="str">
        <f>$J48</f>
        <v>....1.1</v>
      </c>
      <c r="T48" s="201" t="s">
        <v>470</v>
      </c>
      <c r="U48" s="214"/>
      <c r="V48" s="2064"/>
      <c r="W48" s="2065"/>
      <c r="X48" s="2065"/>
      <c r="Y48" s="2065"/>
      <c r="Z48" s="2065"/>
      <c r="AA48" s="2065"/>
      <c r="AB48" s="2065"/>
      <c r="AC48" s="2066"/>
      <c r="AD48" s="2064"/>
      <c r="AE48" s="2065"/>
      <c r="AF48" s="2065"/>
      <c r="AG48" s="2065"/>
      <c r="AH48" s="2065"/>
      <c r="AI48" s="2065"/>
      <c r="AJ48" s="2065"/>
      <c r="AK48" s="2065"/>
      <c r="AL48" s="2066"/>
      <c r="AM48" s="1179" t="s">
        <v>471</v>
      </c>
      <c r="AO48" s="426"/>
      <c r="AP48" s="426" t="str">
        <f t="shared" si="1"/>
        <v>Группа потребителей</v>
      </c>
      <c r="AQ48" s="426"/>
      <c r="AR48" s="426"/>
    </row>
    <row r="49" spans="1:44" ht="21" customHeight="1">
      <c r="A49" s="1281" t="s">
        <v>197</v>
      </c>
      <c r="B49" s="1281" t="s">
        <v>198</v>
      </c>
      <c r="C49" s="1281" t="s">
        <v>199</v>
      </c>
      <c r="D49" s="1281" t="s">
        <v>200</v>
      </c>
      <c r="E49" s="2077"/>
      <c r="F49" s="2077"/>
      <c r="G49" s="2077"/>
      <c r="H49" s="2077"/>
      <c r="I49" s="2079"/>
      <c r="J49" s="2079"/>
      <c r="K49" s="2078" t="str">
        <f>J48&amp;".1"</f>
        <v>....1.1.1</v>
      </c>
      <c r="L49" s="1282" t="s">
        <v>472</v>
      </c>
      <c r="P49" s="1995"/>
      <c r="Q49" s="1995"/>
      <c r="R49" s="278">
        <v>1</v>
      </c>
      <c r="S49" s="1255" t="str">
        <f>$K49</f>
        <v>....1.1.1</v>
      </c>
      <c r="T49" s="1266"/>
      <c r="U49" s="214"/>
      <c r="V49" s="246"/>
      <c r="W49" s="664"/>
      <c r="X49" s="246"/>
      <c r="Y49" s="313"/>
      <c r="Z49" s="2080"/>
      <c r="AA49" s="1885" t="s">
        <v>59</v>
      </c>
      <c r="AB49" s="2080"/>
      <c r="AC49" s="1885" t="s">
        <v>59</v>
      </c>
      <c r="AD49" s="246"/>
      <c r="AE49" s="664"/>
      <c r="AF49" s="246"/>
      <c r="AG49" s="313"/>
      <c r="AH49" s="2080"/>
      <c r="AI49" s="1885" t="s">
        <v>59</v>
      </c>
      <c r="AJ49" s="2082"/>
      <c r="AK49" s="1885" t="s">
        <v>59</v>
      </c>
      <c r="AL49" s="1267"/>
      <c r="AM49" s="2098" t="s">
        <v>473</v>
      </c>
      <c r="AN49" s="437" t="e">
        <f ca="1">STRCHECKDATE(V50:AL50)</f>
        <v>#NAME?</v>
      </c>
      <c r="AO49" s="426"/>
      <c r="AP49" s="426" t="str">
        <f t="shared" si="1"/>
        <v/>
      </c>
      <c r="AQ49" s="426"/>
      <c r="AR49" s="426"/>
    </row>
    <row r="50" spans="1:44" ht="0.75" customHeight="1">
      <c r="A50" s="1281" t="s">
        <v>197</v>
      </c>
      <c r="B50" s="1281" t="s">
        <v>198</v>
      </c>
      <c r="C50" s="1281" t="s">
        <v>199</v>
      </c>
      <c r="D50" s="1281" t="s">
        <v>200</v>
      </c>
      <c r="E50" s="2077"/>
      <c r="F50" s="2077"/>
      <c r="G50" s="2077"/>
      <c r="H50" s="2077"/>
      <c r="I50" s="2079"/>
      <c r="J50" s="2079"/>
      <c r="K50" s="2078"/>
      <c r="L50" s="1282"/>
      <c r="P50" s="1995"/>
      <c r="Q50" s="1995"/>
      <c r="R50" s="278"/>
      <c r="S50" s="1261"/>
      <c r="T50" s="214"/>
      <c r="U50" s="214"/>
      <c r="V50" s="246"/>
      <c r="W50" s="246"/>
      <c r="X50" s="246"/>
      <c r="Y50" s="250" t="str">
        <f>Z49&amp;"-"&amp;AB49</f>
        <v>-</v>
      </c>
      <c r="Z50" s="2081"/>
      <c r="AA50" s="1885"/>
      <c r="AB50" s="2081"/>
      <c r="AC50" s="1885"/>
      <c r="AD50" s="246"/>
      <c r="AE50" s="246"/>
      <c r="AF50" s="246"/>
      <c r="AG50" s="250" t="str">
        <f>AH49&amp;"-"&amp;AJ49</f>
        <v>-</v>
      </c>
      <c r="AH50" s="2081"/>
      <c r="AI50" s="1885"/>
      <c r="AJ50" s="2083"/>
      <c r="AK50" s="1885"/>
      <c r="AL50" s="1268"/>
      <c r="AM50" s="2099"/>
      <c r="AO50" s="426"/>
      <c r="AP50" s="426" t="str">
        <f t="shared" si="1"/>
        <v/>
      </c>
      <c r="AQ50" s="426"/>
      <c r="AR50" s="426"/>
    </row>
    <row r="51" spans="1:44" ht="11.25" customHeight="1">
      <c r="A51" s="1281" t="s">
        <v>197</v>
      </c>
      <c r="B51" s="1281" t="s">
        <v>198</v>
      </c>
      <c r="C51" s="1281" t="s">
        <v>199</v>
      </c>
      <c r="D51" s="1281" t="s">
        <v>200</v>
      </c>
      <c r="E51" s="2077"/>
      <c r="F51" s="2077"/>
      <c r="G51" s="2077"/>
      <c r="H51" s="2077"/>
      <c r="I51" s="2079"/>
      <c r="J51" s="2078"/>
      <c r="K51" s="1281"/>
      <c r="L51" s="1282"/>
      <c r="P51" s="1995"/>
      <c r="Q51" s="1995"/>
      <c r="R51" s="277"/>
      <c r="S51" s="1200"/>
      <c r="T51" s="203" t="s">
        <v>474</v>
      </c>
      <c r="U51" s="291"/>
      <c r="V51" s="291"/>
      <c r="W51" s="291"/>
      <c r="X51" s="291"/>
      <c r="Y51" s="291"/>
      <c r="Z51" s="291"/>
      <c r="AA51" s="291"/>
      <c r="AB51" s="291"/>
      <c r="AC51" s="291"/>
      <c r="AD51" s="291"/>
      <c r="AE51" s="291"/>
      <c r="AF51" s="291"/>
      <c r="AG51" s="291"/>
      <c r="AH51" s="291"/>
      <c r="AI51" s="291"/>
      <c r="AJ51" s="291"/>
      <c r="AK51" s="291"/>
      <c r="AL51" s="245"/>
      <c r="AM51" s="2100"/>
      <c r="AO51" s="426"/>
      <c r="AP51" s="426" t="str">
        <f t="shared" si="1"/>
        <v>Добавить вид теплоносителя (параметры теплоносителя)</v>
      </c>
      <c r="AQ51" s="426"/>
      <c r="AR51" s="426"/>
    </row>
    <row r="52" spans="1:44" ht="11.25" customHeight="1">
      <c r="A52" s="1281" t="s">
        <v>197</v>
      </c>
      <c r="B52" s="1281" t="s">
        <v>198</v>
      </c>
      <c r="C52" s="1281" t="s">
        <v>199</v>
      </c>
      <c r="D52" s="1281" t="s">
        <v>200</v>
      </c>
      <c r="E52" s="2077"/>
      <c r="F52" s="2077"/>
      <c r="G52" s="2077"/>
      <c r="H52" s="2077"/>
      <c r="I52" s="2078"/>
      <c r="J52" s="1281"/>
      <c r="K52" s="1281"/>
      <c r="L52" s="1282"/>
      <c r="P52" s="1995"/>
      <c r="Q52" s="1250"/>
      <c r="R52" s="277"/>
      <c r="S52" s="1200"/>
      <c r="T52" s="202" t="s">
        <v>475</v>
      </c>
      <c r="U52" s="291"/>
      <c r="V52" s="291"/>
      <c r="W52" s="291"/>
      <c r="X52" s="291"/>
      <c r="Y52" s="291"/>
      <c r="Z52" s="291"/>
      <c r="AA52" s="291"/>
      <c r="AB52" s="291"/>
      <c r="AC52" s="290"/>
      <c r="AD52" s="291"/>
      <c r="AE52" s="291"/>
      <c r="AF52" s="291"/>
      <c r="AG52" s="291"/>
      <c r="AH52" s="291"/>
      <c r="AI52" s="291"/>
      <c r="AJ52" s="291"/>
      <c r="AK52" s="290"/>
      <c r="AL52" s="291"/>
      <c r="AM52" s="217"/>
      <c r="AO52" s="426"/>
      <c r="AP52" s="426" t="str">
        <f t="shared" si="1"/>
        <v>Добавить группу потребителей</v>
      </c>
      <c r="AQ52" s="426"/>
      <c r="AR52" s="426"/>
    </row>
    <row r="53" spans="1:44" ht="14.25" customHeight="1">
      <c r="A53" s="1281" t="s">
        <v>197</v>
      </c>
      <c r="B53" s="1281" t="s">
        <v>198</v>
      </c>
      <c r="C53" s="1281" t="s">
        <v>199</v>
      </c>
      <c r="D53" s="1281" t="s">
        <v>200</v>
      </c>
      <c r="E53" s="2077"/>
      <c r="F53" s="2077"/>
      <c r="G53" s="2077"/>
      <c r="H53" s="2076"/>
      <c r="I53" s="1281"/>
      <c r="J53" s="1281"/>
      <c r="K53" s="1281"/>
      <c r="L53" s="1282"/>
      <c r="M53" s="1283"/>
      <c r="N53" s="1283"/>
      <c r="O53" s="462"/>
      <c r="P53" s="281"/>
      <c r="Q53" s="299"/>
      <c r="R53" s="276"/>
      <c r="S53" s="1200"/>
      <c r="T53" s="288" t="s">
        <v>476</v>
      </c>
      <c r="U53" s="291"/>
      <c r="V53" s="291"/>
      <c r="W53" s="291"/>
      <c r="X53" s="291"/>
      <c r="Y53" s="291"/>
      <c r="Z53" s="291"/>
      <c r="AA53" s="291"/>
      <c r="AB53" s="291"/>
      <c r="AC53" s="290"/>
      <c r="AD53" s="291"/>
      <c r="AE53" s="291"/>
      <c r="AF53" s="291"/>
      <c r="AG53" s="291"/>
      <c r="AH53" s="291"/>
      <c r="AI53" s="291"/>
      <c r="AJ53" s="291"/>
      <c r="AK53" s="290"/>
      <c r="AL53" s="291"/>
      <c r="AM53" s="217"/>
      <c r="AO53" s="426"/>
      <c r="AP53" s="426" t="str">
        <f t="shared" si="1"/>
        <v>Добавить схему подключения</v>
      </c>
      <c r="AQ53" s="426"/>
      <c r="AR53" s="426"/>
    </row>
    <row r="54" spans="1:44" s="1559" customFormat="1" ht="0.75" customHeight="1">
      <c r="A54" s="1262" t="s">
        <v>197</v>
      </c>
      <c r="B54" s="1262" t="s">
        <v>198</v>
      </c>
      <c r="C54" s="1262" t="s">
        <v>199</v>
      </c>
      <c r="D54" s="1234"/>
      <c r="E54" s="2077"/>
      <c r="F54" s="2077"/>
      <c r="G54" s="2076"/>
      <c r="H54" s="1234"/>
      <c r="I54" s="1234"/>
      <c r="J54" s="1234"/>
      <c r="K54" s="1234"/>
      <c r="L54" s="1258"/>
      <c r="M54" s="1235"/>
      <c r="N54" s="1235"/>
      <c r="P54" s="1236"/>
      <c r="Q54" s="1237"/>
      <c r="R54" s="1236"/>
      <c r="S54" s="1242"/>
      <c r="T54" s="1245" t="s">
        <v>433</v>
      </c>
      <c r="U54" s="1244"/>
      <c r="V54" s="1244"/>
      <c r="W54" s="1244"/>
      <c r="X54" s="1244"/>
      <c r="Y54" s="1244"/>
      <c r="Z54" s="1244"/>
      <c r="AA54" s="1244"/>
      <c r="AB54" s="1244"/>
      <c r="AC54" s="1244"/>
      <c r="AD54" s="1244"/>
      <c r="AE54" s="1244"/>
      <c r="AF54" s="1244"/>
      <c r="AG54" s="1244"/>
      <c r="AH54" s="1244"/>
      <c r="AI54" s="1244"/>
      <c r="AJ54" s="1244"/>
      <c r="AK54" s="1244"/>
      <c r="AL54" s="1244"/>
      <c r="AM54" s="1244"/>
      <c r="AO54" s="702"/>
      <c r="AP54" s="702" t="str">
        <f t="shared" si="1"/>
        <v>Добавить источник для дифференциации</v>
      </c>
      <c r="AQ54" s="702"/>
      <c r="AR54" s="702"/>
    </row>
    <row r="55" spans="1:44" s="1559" customFormat="1" ht="0.75" customHeight="1">
      <c r="A55" s="1262" t="s">
        <v>197</v>
      </c>
      <c r="B55" s="1262" t="s">
        <v>198</v>
      </c>
      <c r="C55" s="1234"/>
      <c r="D55" s="1234"/>
      <c r="E55" s="2077"/>
      <c r="F55" s="2076"/>
      <c r="G55" s="1234"/>
      <c r="H55" s="1234"/>
      <c r="I55" s="1234"/>
      <c r="J55" s="1234"/>
      <c r="K55" s="1234"/>
      <c r="L55" s="1258"/>
      <c r="M55" s="1241"/>
      <c r="N55" s="1241"/>
      <c r="P55" s="1236"/>
      <c r="Q55" s="1237"/>
      <c r="R55" s="1236"/>
      <c r="S55" s="1242"/>
      <c r="T55" s="1245" t="s">
        <v>434</v>
      </c>
      <c r="U55" s="1244"/>
      <c r="V55" s="1244"/>
      <c r="W55" s="1244"/>
      <c r="X55" s="1244"/>
      <c r="Y55" s="1244"/>
      <c r="Z55" s="1244"/>
      <c r="AA55" s="1244"/>
      <c r="AB55" s="1244"/>
      <c r="AC55" s="1244"/>
      <c r="AD55" s="1244"/>
      <c r="AE55" s="1244"/>
      <c r="AF55" s="1244"/>
      <c r="AG55" s="1244"/>
      <c r="AH55" s="1244"/>
      <c r="AI55" s="1244"/>
      <c r="AJ55" s="1244"/>
      <c r="AK55" s="1244"/>
      <c r="AL55" s="1244"/>
      <c r="AM55" s="1244"/>
      <c r="AO55" s="702"/>
      <c r="AP55" s="702" t="str">
        <f t="shared" si="1"/>
        <v>Добавить централизованную систему для дифференциации</v>
      </c>
      <c r="AQ55" s="702"/>
      <c r="AR55" s="702"/>
    </row>
    <row r="56" spans="1:44" s="1559" customFormat="1" ht="0.75" customHeight="1">
      <c r="A56" s="1262" t="s">
        <v>197</v>
      </c>
      <c r="B56" s="1262"/>
      <c r="C56" s="1262"/>
      <c r="D56" s="1262"/>
      <c r="E56" s="2076"/>
      <c r="F56" s="1262"/>
      <c r="G56" s="1262"/>
      <c r="H56" s="1262"/>
      <c r="I56" s="1262"/>
      <c r="J56" s="1262"/>
      <c r="K56" s="1262"/>
      <c r="L56" s="1265"/>
      <c r="M56" s="1241"/>
      <c r="N56" s="1241"/>
      <c r="O56" s="444"/>
      <c r="P56" s="308"/>
      <c r="Q56" s="1263"/>
      <c r="R56" s="308"/>
      <c r="S56" s="1242"/>
      <c r="T56" s="1245" t="s">
        <v>435</v>
      </c>
      <c r="U56" s="1244"/>
      <c r="V56" s="1244"/>
      <c r="W56" s="1244"/>
      <c r="X56" s="1244"/>
      <c r="Y56" s="1244"/>
      <c r="Z56" s="1244"/>
      <c r="AA56" s="1244"/>
      <c r="AB56" s="1244"/>
      <c r="AC56" s="1244"/>
      <c r="AD56" s="1244"/>
      <c r="AE56" s="1244"/>
      <c r="AF56" s="1244"/>
      <c r="AG56" s="1244"/>
      <c r="AH56" s="1244"/>
      <c r="AI56" s="1244"/>
      <c r="AJ56" s="1244"/>
      <c r="AK56" s="1244"/>
      <c r="AL56" s="1244"/>
      <c r="AM56" s="1244"/>
      <c r="AO56" s="426"/>
      <c r="AP56" s="426" t="str">
        <f t="shared" si="1"/>
        <v>Добавить территорию для дифференциации</v>
      </c>
      <c r="AQ56" s="426"/>
      <c r="AR56" s="426"/>
    </row>
    <row r="57" spans="1:44" s="1559" customFormat="1" ht="0.75" customHeight="1">
      <c r="A57" s="1234"/>
      <c r="B57" s="1234"/>
      <c r="C57" s="1234"/>
      <c r="D57" s="1234"/>
      <c r="E57" s="1262"/>
      <c r="F57" s="1234"/>
      <c r="G57" s="1234"/>
      <c r="H57" s="1234"/>
      <c r="I57" s="1234"/>
      <c r="J57" s="1234"/>
      <c r="K57" s="1234"/>
      <c r="L57" s="1258"/>
      <c r="M57" s="1241"/>
      <c r="N57" s="1241"/>
      <c r="P57" s="1236"/>
      <c r="Q57" s="1237"/>
      <c r="R57" s="1236"/>
      <c r="S57" s="1242"/>
      <c r="T57" s="1245" t="s">
        <v>436</v>
      </c>
      <c r="U57" s="1244"/>
      <c r="V57" s="1244"/>
      <c r="W57" s="1244"/>
      <c r="X57" s="1244"/>
      <c r="Y57" s="1244"/>
      <c r="Z57" s="1244"/>
      <c r="AA57" s="1244"/>
      <c r="AB57" s="1244"/>
      <c r="AC57" s="1244"/>
      <c r="AD57" s="1244"/>
      <c r="AE57" s="1244"/>
      <c r="AF57" s="1244"/>
      <c r="AG57" s="1244"/>
      <c r="AH57" s="1244"/>
      <c r="AI57" s="1244"/>
      <c r="AJ57" s="1244"/>
      <c r="AK57" s="1244"/>
      <c r="AL57" s="1244"/>
      <c r="AM57" s="1244"/>
      <c r="AO57" s="702"/>
      <c r="AP57" s="702" t="str">
        <f t="shared" si="1"/>
        <v>Добавить наименование тарифа</v>
      </c>
      <c r="AQ57" s="702"/>
      <c r="AR57" s="702"/>
    </row>
    <row r="58" spans="1:44" ht="11.25" hidden="1" customHeight="1">
      <c r="M58" s="1062"/>
      <c r="N58" s="1062"/>
      <c r="O58" s="462"/>
      <c r="P58" s="1057"/>
      <c r="Q58" s="1057"/>
      <c r="R58" s="1057"/>
      <c r="S58" s="1057"/>
      <c r="AN58" s="1057"/>
      <c r="AO58" s="1057"/>
      <c r="AP58" s="1057"/>
      <c r="AQ58" s="1057"/>
      <c r="AR58" s="1057"/>
    </row>
    <row r="59" spans="1:44" ht="27" hidden="1" customHeight="1">
      <c r="O59" s="462"/>
      <c r="S59" s="1166" t="s">
        <v>508</v>
      </c>
      <c r="T59" s="2075" t="s">
        <v>515</v>
      </c>
      <c r="U59" s="2075"/>
      <c r="V59" s="2075"/>
      <c r="W59" s="2075"/>
      <c r="X59" s="2075"/>
      <c r="Y59" s="2075"/>
      <c r="Z59" s="2075"/>
      <c r="AA59" s="2075"/>
      <c r="AB59" s="2075"/>
      <c r="AC59" s="2075"/>
      <c r="AD59" s="2075"/>
      <c r="AE59" s="2075"/>
      <c r="AF59" s="2075"/>
      <c r="AG59" s="2075"/>
      <c r="AH59" s="2075"/>
      <c r="AI59" s="2075"/>
      <c r="AJ59" s="2075"/>
      <c r="AK59" s="2075"/>
      <c r="AL59" s="2075"/>
      <c r="AM59" s="2075"/>
    </row>
    <row r="60" spans="1:44" ht="75" hidden="1" customHeight="1">
      <c r="O60" s="462"/>
      <c r="T60" s="2075" t="s">
        <v>510</v>
      </c>
      <c r="U60" s="2075"/>
      <c r="V60" s="2075"/>
      <c r="W60" s="2075"/>
      <c r="X60" s="2075"/>
      <c r="Y60" s="2075"/>
      <c r="Z60" s="2075"/>
      <c r="AA60" s="2075"/>
      <c r="AB60" s="2075"/>
      <c r="AC60" s="2075"/>
      <c r="AD60" s="2075"/>
      <c r="AE60" s="2075"/>
      <c r="AF60" s="2075"/>
      <c r="AG60" s="2075"/>
      <c r="AH60" s="2075"/>
      <c r="AI60" s="2075"/>
      <c r="AJ60" s="2075"/>
      <c r="AK60" s="2075"/>
      <c r="AL60" s="2075"/>
      <c r="AM60" s="2075"/>
    </row>
    <row r="61" spans="1:44" ht="14.25" hidden="1" customHeight="1">
      <c r="O61" s="462"/>
    </row>
    <row r="62" spans="1:44" ht="18" hidden="1" customHeight="1">
      <c r="O62" s="462"/>
      <c r="S62" s="1166" t="s">
        <v>508</v>
      </c>
      <c r="T62" s="2075" t="s">
        <v>511</v>
      </c>
      <c r="U62" s="2075"/>
      <c r="V62" s="2075"/>
      <c r="W62" s="2075"/>
      <c r="X62" s="2075"/>
      <c r="Y62" s="2075"/>
      <c r="Z62" s="2075"/>
      <c r="AA62" s="2075"/>
      <c r="AB62" s="2075"/>
      <c r="AC62" s="2075"/>
      <c r="AD62" s="2075"/>
      <c r="AE62" s="2075"/>
      <c r="AF62" s="2075"/>
      <c r="AG62" s="2075"/>
      <c r="AH62" s="2075"/>
      <c r="AI62" s="2075"/>
      <c r="AJ62" s="2075"/>
      <c r="AK62" s="2075"/>
      <c r="AL62" s="2075"/>
      <c r="AM62" s="2075"/>
    </row>
    <row r="63" spans="1:44" ht="18" hidden="1" customHeight="1">
      <c r="O63" s="462"/>
      <c r="T63" s="2075" t="s">
        <v>512</v>
      </c>
      <c r="U63" s="2075"/>
      <c r="V63" s="2075"/>
      <c r="W63" s="2075"/>
      <c r="X63" s="2075"/>
      <c r="Y63" s="2075"/>
      <c r="Z63" s="2075"/>
      <c r="AA63" s="2075"/>
      <c r="AB63" s="2075"/>
      <c r="AC63" s="2075"/>
      <c r="AD63" s="2075"/>
      <c r="AE63" s="2075"/>
      <c r="AF63" s="2075"/>
      <c r="AG63" s="2075"/>
      <c r="AH63" s="2075"/>
      <c r="AI63" s="2075"/>
      <c r="AJ63" s="2075"/>
      <c r="AK63" s="2075"/>
      <c r="AL63" s="2075"/>
      <c r="AM63" s="2075"/>
    </row>
    <row r="64" spans="1:44" ht="38.25" hidden="1" customHeight="1">
      <c r="O64" s="462"/>
      <c r="S64" s="1166"/>
      <c r="T64" s="2075" t="s">
        <v>513</v>
      </c>
      <c r="U64" s="2075"/>
      <c r="V64" s="2075"/>
      <c r="W64" s="2075"/>
      <c r="X64" s="2075"/>
      <c r="Y64" s="2075"/>
      <c r="Z64" s="2075"/>
      <c r="AA64" s="2075"/>
      <c r="AB64" s="2075"/>
      <c r="AC64" s="2075"/>
      <c r="AD64" s="2075"/>
      <c r="AE64" s="2075"/>
      <c r="AF64" s="2075"/>
      <c r="AG64" s="2075"/>
      <c r="AH64" s="2075"/>
      <c r="AI64" s="2075"/>
      <c r="AJ64" s="2075"/>
      <c r="AK64" s="2075"/>
      <c r="AL64" s="2075"/>
      <c r="AM64" s="2075"/>
    </row>
  </sheetData>
  <sheetProtection formatColumns="0" formatRows="0" insertRows="0" deleteColumns="0" deleteRows="0" sort="0" autoFilter="0"/>
  <mergeCells count="110">
    <mergeCell ref="E2:E15"/>
    <mergeCell ref="F3:F14"/>
    <mergeCell ref="G4:G13"/>
    <mergeCell ref="H5:H12"/>
    <mergeCell ref="I6:I11"/>
    <mergeCell ref="P6:P11"/>
    <mergeCell ref="J7:J10"/>
    <mergeCell ref="Q7:Q10"/>
    <mergeCell ref="K8:K9"/>
    <mergeCell ref="AD31:AJ31"/>
    <mergeCell ref="AJ8:AJ9"/>
    <mergeCell ref="AK8:AK9"/>
    <mergeCell ref="Z8:Z9"/>
    <mergeCell ref="S26:AJ26"/>
    <mergeCell ref="S27:AJ27"/>
    <mergeCell ref="S29:T29"/>
    <mergeCell ref="V29:AB29"/>
    <mergeCell ref="AM8:AM10"/>
    <mergeCell ref="AH17:AH18"/>
    <mergeCell ref="AI17:AI18"/>
    <mergeCell ref="AJ17:AJ18"/>
    <mergeCell ref="AK17:AK18"/>
    <mergeCell ref="AA8:AA9"/>
    <mergeCell ref="AB8:AB9"/>
    <mergeCell ref="AC8:AC9"/>
    <mergeCell ref="AH8:AH9"/>
    <mergeCell ref="AI8:AI9"/>
    <mergeCell ref="AM38:AM41"/>
    <mergeCell ref="S39:S41"/>
    <mergeCell ref="T39:T41"/>
    <mergeCell ref="V39:AB39"/>
    <mergeCell ref="AC39:AC41"/>
    <mergeCell ref="AD39:AJ39"/>
    <mergeCell ref="AK39:AK41"/>
    <mergeCell ref="AL39:AL41"/>
    <mergeCell ref="V40:V41"/>
    <mergeCell ref="W40:W41"/>
    <mergeCell ref="Z40:AB4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 ref="V5:AC5"/>
    <mergeCell ref="AD5:AL5"/>
    <mergeCell ref="V6:AC6"/>
    <mergeCell ref="AD6:AL6"/>
    <mergeCell ref="V7:AC7"/>
    <mergeCell ref="AD7:AL7"/>
    <mergeCell ref="AH40:AJ40"/>
    <mergeCell ref="AA41:AB41"/>
    <mergeCell ref="AI41:AJ41"/>
    <mergeCell ref="AD32:AJ32"/>
    <mergeCell ref="V37:AC37"/>
    <mergeCell ref="AD37:AK37"/>
    <mergeCell ref="S38:AL38"/>
    <mergeCell ref="S32:T32"/>
    <mergeCell ref="V32:AB32"/>
    <mergeCell ref="AD29:AJ29"/>
    <mergeCell ref="S30:T30"/>
    <mergeCell ref="V30:AB30"/>
    <mergeCell ref="AD30:AJ30"/>
    <mergeCell ref="S31:T31"/>
    <mergeCell ref="V31:AB31"/>
    <mergeCell ref="V2:AC2"/>
    <mergeCell ref="AD2:AL2"/>
    <mergeCell ref="V3:AC3"/>
    <mergeCell ref="AD3:AL3"/>
    <mergeCell ref="V4:AC4"/>
    <mergeCell ref="AD4:AL4"/>
    <mergeCell ref="T62:AM62"/>
    <mergeCell ref="T63:AM63"/>
    <mergeCell ref="T64:AM64"/>
    <mergeCell ref="S34:T34"/>
    <mergeCell ref="V34:AB34"/>
    <mergeCell ref="AD34:AJ34"/>
    <mergeCell ref="S35:T35"/>
    <mergeCell ref="V35:AB35"/>
    <mergeCell ref="AD35:AJ35"/>
    <mergeCell ref="AM49:AM51"/>
    <mergeCell ref="T59:AM59"/>
    <mergeCell ref="T60:AM60"/>
    <mergeCell ref="V47:AC47"/>
    <mergeCell ref="AD47:AL47"/>
    <mergeCell ref="AA42:AB42"/>
    <mergeCell ref="AI42:AJ42"/>
    <mergeCell ref="AD40:AD41"/>
    <mergeCell ref="AE40:AE41"/>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524337 AK8 AK589873 AK655409 AK17 AK720945 AK786481 AK852017 AK917553 AK983089 AK65585 AK131121 AK458801 AK196657 AK262193 AI49 AI8 AC8 AA8 AI17 AK327729 AK393265 AA49 AC49 AK49"/>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AR65"/>
  <sheetViews>
    <sheetView showGridLines="0" topLeftCell="Q25" zoomScale="90" workbookViewId="0"/>
  </sheetViews>
  <sheetFormatPr defaultColWidth="10.5703125" defaultRowHeight="14.25" customHeight="1"/>
  <cols>
    <col min="1" max="1" width="10.5703125" style="1284" hidden="1"/>
    <col min="2" max="2" width="11" style="1284" hidden="1" customWidth="1"/>
    <col min="3" max="3" width="10.5703125" style="1284" hidden="1"/>
    <col min="4" max="4" width="11.85546875" style="1284" hidden="1" customWidth="1"/>
    <col min="5" max="5" width="10" style="1284" hidden="1" customWidth="1"/>
    <col min="6" max="6" width="8.7109375" style="1284" hidden="1" customWidth="1"/>
    <col min="7" max="7" width="7.5703125" style="1284" hidden="1" customWidth="1"/>
    <col min="8" max="8" width="11.42578125" style="1284" hidden="1" customWidth="1"/>
    <col min="9" max="9" width="12" style="1284" hidden="1" customWidth="1"/>
    <col min="10" max="10" width="9.85546875" style="1284" hidden="1" customWidth="1"/>
    <col min="11" max="11" width="11.42578125" style="1284" hidden="1" customWidth="1"/>
    <col min="12" max="12" width="19.140625" style="1799" hidden="1" customWidth="1"/>
    <col min="13" max="14" width="12.28515625" style="1696" hidden="1" customWidth="1"/>
    <col min="15" max="15" width="23.42578125" style="1696" hidden="1" customWidth="1"/>
    <col min="16" max="16" width="3.7109375" style="1803" hidden="1" customWidth="1"/>
    <col min="17" max="18" width="3.7109375" style="265" customWidth="1"/>
    <col min="19" max="19" width="12.7109375" style="1806" customWidth="1"/>
    <col min="20" max="20" width="32" style="1552" customWidth="1"/>
    <col min="21" max="21" width="0.140625" style="1552" customWidth="1"/>
    <col min="22" max="22" width="24.7109375" style="1552" hidden="1" customWidth="1"/>
    <col min="23" max="23" width="0.140625" style="1552" hidden="1" customWidth="1"/>
    <col min="24" max="25" width="24.7109375" style="1552" hidden="1" customWidth="1"/>
    <col min="26" max="26" width="11.7109375" style="1552" hidden="1" customWidth="1"/>
    <col min="27" max="27" width="3.7109375" style="1552" hidden="1" customWidth="1"/>
    <col min="28" max="28" width="11.7109375" style="1552" hidden="1" customWidth="1"/>
    <col min="29" max="29" width="8.5703125" style="1552" hidden="1" customWidth="1"/>
    <col min="30" max="30" width="24.7109375" style="1552" customWidth="1"/>
    <col min="31" max="31" width="0.140625" style="1552" customWidth="1"/>
    <col min="32" max="33" width="24.7109375" style="1552" customWidth="1"/>
    <col min="34" max="34" width="11.7109375" style="1552" customWidth="1"/>
    <col min="35" max="35" width="3.7109375" style="1552" customWidth="1"/>
    <col min="36" max="36" width="11.7109375" style="1552" customWidth="1"/>
    <col min="37" max="37" width="8.5703125" style="1552" hidden="1" customWidth="1"/>
    <col min="38" max="38" width="4.7109375" style="1552" customWidth="1"/>
    <col min="39" max="39" width="115.7109375" style="1552" customWidth="1"/>
    <col min="40" max="41" width="10.5703125" style="1559"/>
    <col min="42" max="42" width="11.140625" style="1559" customWidth="1"/>
    <col min="43" max="44" width="10.5703125" style="1559"/>
  </cols>
  <sheetData>
    <row r="1" spans="1:44" ht="14.25" hidden="1" customHeight="1">
      <c r="Y1" s="249"/>
      <c r="Z1" s="249"/>
      <c r="AG1" s="249"/>
      <c r="AH1" s="249"/>
    </row>
    <row r="2" spans="1:44" ht="21" hidden="1" customHeight="1">
      <c r="A2" s="1281"/>
      <c r="B2" s="1281"/>
      <c r="C2" s="1281"/>
      <c r="D2" s="1281"/>
      <c r="E2" s="2076">
        <v>1</v>
      </c>
      <c r="F2" s="1281"/>
      <c r="G2" s="1281"/>
      <c r="H2" s="1281"/>
      <c r="I2" s="1281"/>
      <c r="J2" s="1281"/>
      <c r="K2" s="1281"/>
      <c r="L2" s="1282"/>
      <c r="M2" s="1283"/>
      <c r="N2" s="1283"/>
      <c r="O2" s="1283"/>
      <c r="P2" s="282"/>
      <c r="Q2" s="281"/>
      <c r="R2" s="276"/>
      <c r="S2" s="1255" t="e">
        <f>INDEX(PT_DIFFERENTIATION_NUM_NTAR,MATCH(A2,PT_DIFFERENTIATION_NTAR_ID,0))</f>
        <v>#N/A</v>
      </c>
      <c r="T2" s="212" t="s">
        <v>128</v>
      </c>
      <c r="U2" s="214"/>
      <c r="V2" s="2070"/>
      <c r="W2" s="2071"/>
      <c r="X2" s="2071"/>
      <c r="Y2" s="2071"/>
      <c r="Z2" s="2071"/>
      <c r="AA2" s="2071"/>
      <c r="AB2" s="2071"/>
      <c r="AC2" s="2072"/>
      <c r="AD2" s="2070" t="e">
        <f>INDEX(PT_DIFFERENTIATION_NTAR,MATCH(A2,PT_DIFFERENTIATION_NTAR_ID,0))</f>
        <v>#N/A</v>
      </c>
      <c r="AE2" s="2071"/>
      <c r="AF2" s="2071"/>
      <c r="AG2" s="2071"/>
      <c r="AH2" s="2071"/>
      <c r="AI2" s="2071"/>
      <c r="AJ2" s="2071"/>
      <c r="AK2" s="2071"/>
      <c r="AL2" s="2072"/>
      <c r="AM2" s="1179" t="s">
        <v>459</v>
      </c>
      <c r="AO2" s="426"/>
      <c r="AP2" s="426" t="str">
        <f t="shared" ref="AP2:AP15" si="0">IF(T2="","",T2)</f>
        <v>Наименование тарифа</v>
      </c>
      <c r="AQ2" s="426"/>
      <c r="AR2" s="426"/>
    </row>
    <row r="3" spans="1:44" ht="21" hidden="1" customHeight="1">
      <c r="A3" s="1281"/>
      <c r="B3" s="1281"/>
      <c r="C3" s="1281"/>
      <c r="D3" s="1281"/>
      <c r="E3" s="2077"/>
      <c r="F3" s="2076">
        <v>1</v>
      </c>
      <c r="G3" s="1281"/>
      <c r="H3" s="1281"/>
      <c r="I3" s="1281"/>
      <c r="J3" s="1281"/>
      <c r="K3" s="1281"/>
      <c r="L3" s="1282"/>
      <c r="M3" s="1283"/>
      <c r="N3" s="1283"/>
      <c r="O3" s="1283"/>
      <c r="P3" s="1251"/>
      <c r="Q3" s="273"/>
      <c r="R3" s="274"/>
      <c r="S3" s="1255" t="e">
        <f>INDEX(PT_DIFFERENTIATION_NUM_TER,MATCH(B3,PT_DIFFERENTIATION_TER_ID,0))</f>
        <v>#N/A</v>
      </c>
      <c r="T3" s="224" t="s">
        <v>460</v>
      </c>
      <c r="U3" s="214"/>
      <c r="V3" s="2070"/>
      <c r="W3" s="2071"/>
      <c r="X3" s="2071"/>
      <c r="Y3" s="2071"/>
      <c r="Z3" s="2071"/>
      <c r="AA3" s="2071"/>
      <c r="AB3" s="2071"/>
      <c r="AC3" s="2072"/>
      <c r="AD3" s="2070" t="e">
        <f>INDEX(PT_DIFFERENTIATION_TER,MATCH(B3,PT_DIFFERENTIATION_TER_ID,0))</f>
        <v>#N/A</v>
      </c>
      <c r="AE3" s="2071"/>
      <c r="AF3" s="2071"/>
      <c r="AG3" s="2071"/>
      <c r="AH3" s="2071"/>
      <c r="AI3" s="2071"/>
      <c r="AJ3" s="2071"/>
      <c r="AK3" s="2071"/>
      <c r="AL3" s="2072"/>
      <c r="AM3" s="1179" t="s">
        <v>461</v>
      </c>
      <c r="AO3" s="426"/>
      <c r="AP3" s="426" t="str">
        <f t="shared" si="0"/>
        <v>Территория действия тарифа</v>
      </c>
      <c r="AQ3" s="426"/>
      <c r="AR3" s="426"/>
    </row>
    <row r="4" spans="1:44" ht="23.25" hidden="1" customHeight="1">
      <c r="A4" s="1281"/>
      <c r="B4" s="1281"/>
      <c r="C4" s="1281"/>
      <c r="D4" s="1281"/>
      <c r="E4" s="2077"/>
      <c r="F4" s="2077"/>
      <c r="G4" s="2076">
        <v>1</v>
      </c>
      <c r="H4" s="1281"/>
      <c r="I4" s="1281"/>
      <c r="J4" s="1281"/>
      <c r="K4" s="1281"/>
      <c r="L4" s="1282"/>
      <c r="M4" s="1283"/>
      <c r="N4" s="1283"/>
      <c r="O4" s="1283"/>
      <c r="P4" s="275"/>
      <c r="Q4" s="273"/>
      <c r="R4" s="274"/>
      <c r="S4" s="1255" t="e">
        <f>INDEX(PT_DIFFERENTIATION_NUM_CS,MATCH(C4,PT_DIFFERENTIATION_CS_ID,0))</f>
        <v>#N/A</v>
      </c>
      <c r="T4" s="225" t="s">
        <v>462</v>
      </c>
      <c r="U4" s="214"/>
      <c r="V4" s="2070"/>
      <c r="W4" s="2071"/>
      <c r="X4" s="2071"/>
      <c r="Y4" s="2071"/>
      <c r="Z4" s="2071"/>
      <c r="AA4" s="2071"/>
      <c r="AB4" s="2071"/>
      <c r="AC4" s="2072"/>
      <c r="AD4" s="2070" t="e">
        <f>INDEX(PT_DIFFERENTIATION_CS,MATCH(C4,PT_DIFFERENTIATION_CS_ID,0))</f>
        <v>#N/A</v>
      </c>
      <c r="AE4" s="2071"/>
      <c r="AF4" s="2071"/>
      <c r="AG4" s="2071"/>
      <c r="AH4" s="2071"/>
      <c r="AI4" s="2071"/>
      <c r="AJ4" s="2071"/>
      <c r="AK4" s="2071"/>
      <c r="AL4" s="2072"/>
      <c r="AM4" s="1179" t="s">
        <v>463</v>
      </c>
      <c r="AO4" s="426"/>
      <c r="AP4" s="426" t="str">
        <f t="shared" si="0"/>
        <v xml:space="preserve">Наименование системы теплоснабжения </v>
      </c>
      <c r="AQ4" s="426"/>
      <c r="AR4" s="426"/>
    </row>
    <row r="5" spans="1:44" ht="21" hidden="1" customHeight="1">
      <c r="A5" s="1281"/>
      <c r="B5" s="1281"/>
      <c r="C5" s="1281"/>
      <c r="D5" s="1281"/>
      <c r="E5" s="2077"/>
      <c r="F5" s="2077"/>
      <c r="G5" s="2077"/>
      <c r="H5" s="2076">
        <v>1</v>
      </c>
      <c r="I5" s="1281"/>
      <c r="J5" s="1281"/>
      <c r="K5" s="1281"/>
      <c r="L5" s="1282"/>
      <c r="M5" s="1283"/>
      <c r="N5" s="1283"/>
      <c r="O5" s="1283"/>
      <c r="P5" s="275"/>
      <c r="Q5" s="273"/>
      <c r="R5" s="274"/>
      <c r="S5" s="1255" t="e">
        <f>INDEX(PT_DIFFERENTIATION_NUM_IST_TE,MATCH(D5,PT_DIFFERENTIATION_IST_TE_ID,0))</f>
        <v>#N/A</v>
      </c>
      <c r="T5" s="226" t="s">
        <v>464</v>
      </c>
      <c r="U5" s="214"/>
      <c r="V5" s="2070"/>
      <c r="W5" s="2071"/>
      <c r="X5" s="2071"/>
      <c r="Y5" s="2071"/>
      <c r="Z5" s="2071"/>
      <c r="AA5" s="2071"/>
      <c r="AB5" s="2071"/>
      <c r="AC5" s="2072"/>
      <c r="AD5" s="2070" t="e">
        <f>INDEX(PT_DIFFERENTIATION_IST_TE,MATCH(D5,PT_DIFFERENTIATION_IST_TE_ID,0))</f>
        <v>#N/A</v>
      </c>
      <c r="AE5" s="2071"/>
      <c r="AF5" s="2071"/>
      <c r="AG5" s="2071"/>
      <c r="AH5" s="2071"/>
      <c r="AI5" s="2071"/>
      <c r="AJ5" s="2071"/>
      <c r="AK5" s="2071"/>
      <c r="AL5" s="2072"/>
      <c r="AM5" s="1179" t="s">
        <v>465</v>
      </c>
      <c r="AO5" s="426"/>
      <c r="AP5" s="426" t="str">
        <f t="shared" si="0"/>
        <v xml:space="preserve">Источник тепловой энергии  </v>
      </c>
      <c r="AQ5" s="426"/>
      <c r="AR5" s="426"/>
    </row>
    <row r="6" spans="1:44" ht="14.25" hidden="1" customHeight="1">
      <c r="A6" s="1281"/>
      <c r="B6" s="1281"/>
      <c r="C6" s="1281"/>
      <c r="D6" s="1281"/>
      <c r="E6" s="2077"/>
      <c r="F6" s="2077"/>
      <c r="G6" s="2077"/>
      <c r="H6" s="2077"/>
      <c r="I6" s="2078" t="e">
        <f>S5&amp;".1"</f>
        <v>#N/A</v>
      </c>
      <c r="J6" s="1281"/>
      <c r="K6" s="1281"/>
      <c r="L6" s="1282" t="s">
        <v>466</v>
      </c>
      <c r="M6" s="462"/>
      <c r="P6" s="1995">
        <v>1</v>
      </c>
      <c r="Q6" s="1250"/>
      <c r="R6" s="277"/>
      <c r="S6" s="950"/>
      <c r="T6" s="1301"/>
      <c r="U6" s="1302"/>
      <c r="V6" s="2105"/>
      <c r="W6" s="2106"/>
      <c r="X6" s="2106"/>
      <c r="Y6" s="2106"/>
      <c r="Z6" s="2106"/>
      <c r="AA6" s="2106"/>
      <c r="AB6" s="2106"/>
      <c r="AC6" s="2107"/>
      <c r="AD6" s="2105"/>
      <c r="AE6" s="2106"/>
      <c r="AF6" s="2106"/>
      <c r="AG6" s="2106"/>
      <c r="AH6" s="2106"/>
      <c r="AI6" s="2106"/>
      <c r="AJ6" s="2106"/>
      <c r="AK6" s="2106"/>
      <c r="AL6" s="2107"/>
      <c r="AM6" s="1303"/>
      <c r="AO6" s="426"/>
      <c r="AP6" s="426" t="str">
        <f t="shared" si="0"/>
        <v/>
      </c>
      <c r="AQ6" s="426"/>
      <c r="AR6" s="426"/>
    </row>
    <row r="7" spans="1:44" ht="21" hidden="1" customHeight="1">
      <c r="A7" s="1281"/>
      <c r="B7" s="1281"/>
      <c r="C7" s="1281"/>
      <c r="D7" s="1281"/>
      <c r="E7" s="2077"/>
      <c r="F7" s="2077"/>
      <c r="G7" s="2077"/>
      <c r="H7" s="2077"/>
      <c r="I7" s="2079"/>
      <c r="J7" s="2078" t="e">
        <f>I6&amp;".1"</f>
        <v>#N/A</v>
      </c>
      <c r="K7" s="1281"/>
      <c r="L7" s="1282" t="s">
        <v>469</v>
      </c>
      <c r="M7" s="462"/>
      <c r="N7" s="1284"/>
      <c r="P7" s="1995"/>
      <c r="Q7" s="1995">
        <v>1</v>
      </c>
      <c r="R7" s="278"/>
      <c r="S7" s="1255" t="e">
        <f>$J7</f>
        <v>#N/A</v>
      </c>
      <c r="T7" s="201" t="s">
        <v>470</v>
      </c>
      <c r="U7" s="214"/>
      <c r="V7" s="2064"/>
      <c r="W7" s="2065"/>
      <c r="X7" s="2065"/>
      <c r="Y7" s="2065"/>
      <c r="Z7" s="2065"/>
      <c r="AA7" s="2065"/>
      <c r="AB7" s="2065"/>
      <c r="AC7" s="2066"/>
      <c r="AD7" s="2064"/>
      <c r="AE7" s="2065"/>
      <c r="AF7" s="2065"/>
      <c r="AG7" s="2065"/>
      <c r="AH7" s="2065"/>
      <c r="AI7" s="2065"/>
      <c r="AJ7" s="2065"/>
      <c r="AK7" s="2065"/>
      <c r="AL7" s="2066"/>
      <c r="AM7" s="1179" t="s">
        <v>471</v>
      </c>
      <c r="AO7" s="426"/>
      <c r="AP7" s="426" t="str">
        <f t="shared" si="0"/>
        <v>Группа потребителей</v>
      </c>
      <c r="AQ7" s="426"/>
      <c r="AR7" s="426"/>
    </row>
    <row r="8" spans="1:44" ht="21" hidden="1" customHeight="1">
      <c r="A8" s="1281"/>
      <c r="B8" s="1281"/>
      <c r="C8" s="1281"/>
      <c r="D8" s="1281"/>
      <c r="E8" s="2077"/>
      <c r="F8" s="2077"/>
      <c r="G8" s="2077"/>
      <c r="H8" s="2077"/>
      <c r="I8" s="2079"/>
      <c r="J8" s="2079"/>
      <c r="K8" s="2078" t="e">
        <f>J7&amp;".1"</f>
        <v>#N/A</v>
      </c>
      <c r="L8" s="1282" t="s">
        <v>472</v>
      </c>
      <c r="M8" s="462"/>
      <c r="N8" s="1284"/>
      <c r="O8" s="1284"/>
      <c r="P8" s="1995"/>
      <c r="Q8" s="1995"/>
      <c r="R8" s="278">
        <v>1</v>
      </c>
      <c r="S8" s="1255" t="e">
        <f>$K8</f>
        <v>#N/A</v>
      </c>
      <c r="T8" s="1266"/>
      <c r="U8" s="214"/>
      <c r="V8" s="664"/>
      <c r="W8" s="246"/>
      <c r="X8" s="664"/>
      <c r="Y8" s="1178"/>
      <c r="Z8" s="2080"/>
      <c r="AA8" s="1885" t="s">
        <v>59</v>
      </c>
      <c r="AB8" s="2080"/>
      <c r="AC8" s="1885" t="s">
        <v>59</v>
      </c>
      <c r="AD8" s="664"/>
      <c r="AE8" s="246"/>
      <c r="AF8" s="664"/>
      <c r="AG8" s="1178"/>
      <c r="AH8" s="2080"/>
      <c r="AI8" s="1885" t="s">
        <v>59</v>
      </c>
      <c r="AJ8" s="2080"/>
      <c r="AK8" s="1885" t="s">
        <v>59</v>
      </c>
      <c r="AL8" s="246"/>
      <c r="AM8" s="2098" t="s">
        <v>473</v>
      </c>
      <c r="AN8" s="437" t="e">
        <f ca="1">STRCHECKDATE(V9:AL9)</f>
        <v>#NAME?</v>
      </c>
      <c r="AO8" s="426"/>
      <c r="AP8" s="426" t="str">
        <f t="shared" si="0"/>
        <v/>
      </c>
      <c r="AQ8" s="426"/>
      <c r="AR8" s="426"/>
    </row>
    <row r="9" spans="1:44" ht="0.75" hidden="1" customHeight="1">
      <c r="A9" s="1281"/>
      <c r="B9" s="1281"/>
      <c r="C9" s="1281"/>
      <c r="D9" s="1281"/>
      <c r="E9" s="2077"/>
      <c r="F9" s="2077"/>
      <c r="G9" s="2077"/>
      <c r="H9" s="2077"/>
      <c r="I9" s="2079"/>
      <c r="J9" s="2079"/>
      <c r="K9" s="2078"/>
      <c r="L9" s="1282"/>
      <c r="M9" s="462"/>
      <c r="N9" s="1284"/>
      <c r="O9" s="1284"/>
      <c r="P9" s="1995"/>
      <c r="Q9" s="1995"/>
      <c r="R9" s="278"/>
      <c r="S9" s="1261"/>
      <c r="T9" s="214"/>
      <c r="U9" s="214"/>
      <c r="V9" s="246"/>
      <c r="W9" s="246"/>
      <c r="X9" s="246"/>
      <c r="Y9" s="250" t="str">
        <f>Z8&amp;"-"&amp;AB8</f>
        <v>-</v>
      </c>
      <c r="Z9" s="2081"/>
      <c r="AA9" s="1885"/>
      <c r="AB9" s="2081"/>
      <c r="AC9" s="1885"/>
      <c r="AD9" s="246"/>
      <c r="AE9" s="246"/>
      <c r="AF9" s="246"/>
      <c r="AG9" s="250" t="str">
        <f>AH8&amp;"-"&amp;AJ8</f>
        <v>-</v>
      </c>
      <c r="AH9" s="2081"/>
      <c r="AI9" s="1885"/>
      <c r="AJ9" s="2081"/>
      <c r="AK9" s="1885"/>
      <c r="AL9" s="246"/>
      <c r="AM9" s="2099"/>
      <c r="AO9" s="426"/>
      <c r="AP9" s="426" t="str">
        <f t="shared" si="0"/>
        <v/>
      </c>
      <c r="AQ9" s="426"/>
      <c r="AR9" s="426"/>
    </row>
    <row r="10" spans="1:44" ht="15" hidden="1" customHeight="1">
      <c r="A10" s="1281"/>
      <c r="B10" s="1281"/>
      <c r="C10" s="1281"/>
      <c r="D10" s="1281"/>
      <c r="E10" s="2077"/>
      <c r="F10" s="2077"/>
      <c r="G10" s="2077"/>
      <c r="H10" s="2077"/>
      <c r="I10" s="2079"/>
      <c r="J10" s="2078"/>
      <c r="K10" s="1281"/>
      <c r="L10" s="1282"/>
      <c r="M10" s="462"/>
      <c r="N10" s="1284"/>
      <c r="P10" s="1995"/>
      <c r="Q10" s="1995"/>
      <c r="R10" s="277"/>
      <c r="S10" s="1200"/>
      <c r="T10" s="202" t="s">
        <v>474</v>
      </c>
      <c r="U10" s="291"/>
      <c r="V10" s="291"/>
      <c r="W10" s="291"/>
      <c r="X10" s="291"/>
      <c r="Y10" s="291"/>
      <c r="Z10" s="291"/>
      <c r="AA10" s="291"/>
      <c r="AB10" s="291"/>
      <c r="AC10" s="291"/>
      <c r="AD10" s="291"/>
      <c r="AE10" s="291"/>
      <c r="AF10" s="291"/>
      <c r="AG10" s="291"/>
      <c r="AH10" s="291"/>
      <c r="AI10" s="291"/>
      <c r="AJ10" s="291"/>
      <c r="AK10" s="291"/>
      <c r="AL10" s="245"/>
      <c r="AM10" s="2100"/>
      <c r="AO10" s="426"/>
      <c r="AP10" s="426" t="str">
        <f t="shared" si="0"/>
        <v>Добавить вид теплоносителя (параметры теплоносителя)</v>
      </c>
      <c r="AQ10" s="426"/>
      <c r="AR10" s="426"/>
    </row>
    <row r="11" spans="1:44" ht="15" hidden="1" customHeight="1">
      <c r="A11" s="1281"/>
      <c r="B11" s="1281"/>
      <c r="C11" s="1281"/>
      <c r="D11" s="1281"/>
      <c r="E11" s="2077"/>
      <c r="F11" s="2077"/>
      <c r="G11" s="2077"/>
      <c r="H11" s="2077"/>
      <c r="I11" s="2078"/>
      <c r="J11" s="1281"/>
      <c r="K11" s="1281"/>
      <c r="L11" s="1282"/>
      <c r="M11" s="462"/>
      <c r="P11" s="1995"/>
      <c r="Q11" s="1250"/>
      <c r="R11" s="277"/>
      <c r="S11" s="1200"/>
      <c r="T11" s="288" t="s">
        <v>475</v>
      </c>
      <c r="U11" s="291"/>
      <c r="V11" s="291"/>
      <c r="W11" s="291"/>
      <c r="X11" s="291"/>
      <c r="Y11" s="291"/>
      <c r="Z11" s="291"/>
      <c r="AA11" s="291"/>
      <c r="AB11" s="291"/>
      <c r="AC11" s="290"/>
      <c r="AD11" s="291"/>
      <c r="AE11" s="291"/>
      <c r="AF11" s="291"/>
      <c r="AG11" s="291"/>
      <c r="AH11" s="291"/>
      <c r="AI11" s="291"/>
      <c r="AJ11" s="291"/>
      <c r="AK11" s="290"/>
      <c r="AL11" s="291"/>
      <c r="AM11" s="217"/>
      <c r="AO11" s="426"/>
      <c r="AP11" s="426" t="str">
        <f t="shared" si="0"/>
        <v>Добавить группу потребителей</v>
      </c>
      <c r="AQ11" s="426"/>
      <c r="AR11" s="426"/>
    </row>
    <row r="12" spans="1:44" ht="14.25" hidden="1" customHeight="1">
      <c r="A12" s="1281"/>
      <c r="B12" s="1281"/>
      <c r="C12" s="1281"/>
      <c r="D12" s="1281"/>
      <c r="E12" s="2077"/>
      <c r="F12" s="2077"/>
      <c r="G12" s="2077"/>
      <c r="H12" s="2076"/>
      <c r="I12" s="1281"/>
      <c r="J12" s="1281"/>
      <c r="K12" s="1281"/>
      <c r="L12" s="1282"/>
      <c r="M12" s="1283"/>
      <c r="N12" s="1283"/>
      <c r="O12" s="462"/>
      <c r="P12" s="281"/>
      <c r="Q12" s="299"/>
      <c r="R12" s="276"/>
      <c r="S12" s="1304"/>
      <c r="T12" s="1305"/>
      <c r="U12" s="1306"/>
      <c r="V12" s="1306"/>
      <c r="W12" s="1306"/>
      <c r="X12" s="1306"/>
      <c r="Y12" s="1306"/>
      <c r="Z12" s="1306"/>
      <c r="AA12" s="1306"/>
      <c r="AB12" s="1306"/>
      <c r="AC12" s="1306"/>
      <c r="AD12" s="1306"/>
      <c r="AE12" s="1306"/>
      <c r="AF12" s="1306"/>
      <c r="AG12" s="1306"/>
      <c r="AH12" s="1306"/>
      <c r="AI12" s="1306"/>
      <c r="AJ12" s="1306"/>
      <c r="AK12" s="1306"/>
      <c r="AL12" s="1306"/>
      <c r="AM12" s="1307"/>
      <c r="AO12" s="426"/>
      <c r="AP12" s="426" t="str">
        <f t="shared" si="0"/>
        <v/>
      </c>
      <c r="AQ12" s="426"/>
      <c r="AR12" s="426"/>
    </row>
    <row r="13" spans="1:44" s="1559" customFormat="1" ht="0.75" hidden="1" customHeight="1">
      <c r="A13" s="1234"/>
      <c r="B13" s="1234"/>
      <c r="C13" s="1234"/>
      <c r="D13" s="1234"/>
      <c r="E13" s="2077"/>
      <c r="F13" s="2077"/>
      <c r="G13" s="2076"/>
      <c r="H13" s="1234"/>
      <c r="I13" s="1234"/>
      <c r="J13" s="1234"/>
      <c r="K13" s="1234"/>
      <c r="L13" s="1258"/>
      <c r="M13" s="1235"/>
      <c r="N13" s="1235"/>
      <c r="P13" s="1236"/>
      <c r="Q13" s="1237"/>
      <c r="R13" s="1236"/>
      <c r="S13" s="1238"/>
      <c r="T13" s="1239" t="s">
        <v>433</v>
      </c>
      <c r="U13" s="1240"/>
      <c r="V13" s="1240"/>
      <c r="W13" s="1240"/>
      <c r="X13" s="1240"/>
      <c r="Y13" s="1240"/>
      <c r="Z13" s="1240"/>
      <c r="AA13" s="1240"/>
      <c r="AB13" s="1240"/>
      <c r="AC13" s="1240"/>
      <c r="AD13" s="1240"/>
      <c r="AE13" s="1240"/>
      <c r="AF13" s="1240"/>
      <c r="AG13" s="1240"/>
      <c r="AH13" s="1240"/>
      <c r="AI13" s="1240"/>
      <c r="AJ13" s="1240"/>
      <c r="AK13" s="1240"/>
      <c r="AL13" s="1240"/>
      <c r="AM13" s="1240"/>
      <c r="AO13" s="702"/>
      <c r="AP13" s="702" t="str">
        <f t="shared" si="0"/>
        <v>Добавить источник для дифференциации</v>
      </c>
      <c r="AQ13" s="702"/>
      <c r="AR13" s="702"/>
    </row>
    <row r="14" spans="1:44" s="1559" customFormat="1" ht="0.75" hidden="1" customHeight="1">
      <c r="A14" s="1234"/>
      <c r="B14" s="1234"/>
      <c r="C14" s="1234"/>
      <c r="D14" s="1234"/>
      <c r="E14" s="2077"/>
      <c r="F14" s="2076"/>
      <c r="G14" s="1234"/>
      <c r="H14" s="1234"/>
      <c r="I14" s="1234"/>
      <c r="J14" s="1234"/>
      <c r="K14" s="1234"/>
      <c r="L14" s="1258"/>
      <c r="M14" s="1241"/>
      <c r="N14" s="1241"/>
      <c r="P14" s="1236"/>
      <c r="Q14" s="1237"/>
      <c r="R14" s="1236"/>
      <c r="S14" s="1242"/>
      <c r="T14" s="1243" t="s">
        <v>434</v>
      </c>
      <c r="U14" s="1244"/>
      <c r="V14" s="1244"/>
      <c r="W14" s="1244"/>
      <c r="X14" s="1244"/>
      <c r="Y14" s="1244"/>
      <c r="Z14" s="1244"/>
      <c r="AA14" s="1244"/>
      <c r="AB14" s="1244"/>
      <c r="AC14" s="1244"/>
      <c r="AD14" s="1244"/>
      <c r="AE14" s="1244"/>
      <c r="AF14" s="1244"/>
      <c r="AG14" s="1244"/>
      <c r="AH14" s="1244"/>
      <c r="AI14" s="1244"/>
      <c r="AJ14" s="1244"/>
      <c r="AK14" s="1244"/>
      <c r="AL14" s="1244"/>
      <c r="AM14" s="1244"/>
      <c r="AO14" s="702"/>
      <c r="AP14" s="702" t="str">
        <f t="shared" si="0"/>
        <v>Добавить централизованную систему для дифференциации</v>
      </c>
      <c r="AQ14" s="702"/>
      <c r="AR14" s="702"/>
    </row>
    <row r="15" spans="1:44" s="1559" customFormat="1" ht="0.75" hidden="1" customHeight="1">
      <c r="A15" s="1234"/>
      <c r="B15" s="1234"/>
      <c r="C15" s="1234"/>
      <c r="D15" s="1234"/>
      <c r="E15" s="2076"/>
      <c r="F15" s="1234"/>
      <c r="G15" s="1234"/>
      <c r="H15" s="1234"/>
      <c r="I15" s="1234"/>
      <c r="J15" s="1234"/>
      <c r="K15" s="1234"/>
      <c r="L15" s="1258"/>
      <c r="M15" s="1241"/>
      <c r="N15" s="1241"/>
      <c r="P15" s="1236"/>
      <c r="Q15" s="1237"/>
      <c r="R15" s="1236"/>
      <c r="S15" s="1242"/>
      <c r="T15" s="1245" t="s">
        <v>435</v>
      </c>
      <c r="U15" s="1244"/>
      <c r="V15" s="1244"/>
      <c r="W15" s="1244"/>
      <c r="X15" s="1244"/>
      <c r="Y15" s="1244"/>
      <c r="Z15" s="1244"/>
      <c r="AA15" s="1244"/>
      <c r="AB15" s="1244"/>
      <c r="AC15" s="1244"/>
      <c r="AD15" s="1244"/>
      <c r="AE15" s="1244"/>
      <c r="AF15" s="1244"/>
      <c r="AG15" s="1244"/>
      <c r="AH15" s="1244"/>
      <c r="AI15" s="1244"/>
      <c r="AJ15" s="1244"/>
      <c r="AK15" s="1244"/>
      <c r="AL15" s="1244"/>
      <c r="AM15" s="1244"/>
      <c r="AO15" s="702"/>
      <c r="AP15" s="702" t="str">
        <f t="shared" si="0"/>
        <v>Добавить территорию для дифференциации</v>
      </c>
      <c r="AQ15" s="702"/>
      <c r="AR15" s="702"/>
    </row>
    <row r="16" spans="1:44" ht="14.25" hidden="1" customHeight="1">
      <c r="AC16" s="249"/>
      <c r="AK16" s="249"/>
    </row>
    <row r="17" spans="1:44" ht="14.25" hidden="1" customHeight="1">
      <c r="AD17" s="1278"/>
      <c r="AE17" s="1278"/>
      <c r="AF17" s="1278"/>
      <c r="AG17" s="1279"/>
      <c r="AH17" s="2074"/>
      <c r="AI17" s="2073" t="s">
        <v>59</v>
      </c>
      <c r="AJ17" s="2074"/>
      <c r="AK17" s="2073" t="s">
        <v>59</v>
      </c>
    </row>
    <row r="18" spans="1:44" ht="14.25" hidden="1" customHeight="1">
      <c r="AD18" s="1278"/>
      <c r="AE18" s="1278"/>
      <c r="AF18" s="1278"/>
      <c r="AG18" s="250" t="str">
        <f>AH17&amp;"-"&amp;AJ17</f>
        <v>-</v>
      </c>
      <c r="AH18" s="2073"/>
      <c r="AI18" s="2073"/>
      <c r="AJ18" s="2073"/>
      <c r="AK18" s="2073"/>
    </row>
    <row r="19" spans="1:44" ht="14.25" hidden="1" customHeight="1">
      <c r="AK19" s="249"/>
    </row>
    <row r="20" spans="1:44" s="1284" customFormat="1" ht="22.5" hidden="1" customHeight="1">
      <c r="L20" s="1248"/>
      <c r="M20" s="1280"/>
      <c r="N20" s="1280"/>
      <c r="O20" s="1285" t="s">
        <v>477</v>
      </c>
      <c r="P20" s="1280"/>
      <c r="Q20" s="1289"/>
      <c r="R20" s="1289"/>
      <c r="S20" s="645"/>
      <c r="Z20" s="1285"/>
      <c r="AB20" s="1285"/>
      <c r="AH20" s="1285"/>
      <c r="AJ20" s="1285"/>
      <c r="AN20" s="437"/>
      <c r="AO20" s="437"/>
      <c r="AP20" s="437"/>
      <c r="AQ20" s="437"/>
      <c r="AR20" s="437"/>
    </row>
    <row r="21" spans="1:44" s="1284" customFormat="1" ht="14.25" hidden="1" customHeight="1">
      <c r="L21" s="1248"/>
      <c r="M21" s="1280"/>
      <c r="N21" s="1280"/>
      <c r="O21" s="1280"/>
      <c r="P21" s="1280"/>
      <c r="Q21" s="1289"/>
      <c r="R21" s="1289"/>
      <c r="S21" s="645"/>
      <c r="AN21" s="437"/>
      <c r="AO21" s="437"/>
      <c r="AP21" s="437"/>
      <c r="AQ21" s="437"/>
      <c r="AR21" s="437"/>
    </row>
    <row r="22" spans="1:44" s="1284" customFormat="1" ht="14.25" hidden="1" customHeight="1">
      <c r="L22" s="1248"/>
      <c r="M22" s="1280"/>
      <c r="N22" s="1280"/>
      <c r="O22" s="1282" t="s">
        <v>478</v>
      </c>
      <c r="P22" s="1280"/>
      <c r="Q22" s="1289"/>
      <c r="R22" s="1289"/>
      <c r="S22" s="645"/>
      <c r="T22" s="1062" t="s">
        <v>479</v>
      </c>
      <c r="AA22" s="104" t="s">
        <v>480</v>
      </c>
      <c r="AC22" s="104" t="s">
        <v>481</v>
      </c>
      <c r="AD22" s="1062" t="s">
        <v>479</v>
      </c>
      <c r="AI22" s="104" t="s">
        <v>482</v>
      </c>
      <c r="AK22" s="104" t="s">
        <v>481</v>
      </c>
      <c r="AN22" s="437"/>
      <c r="AO22" s="437"/>
      <c r="AP22" s="437"/>
      <c r="AQ22" s="437"/>
      <c r="AR22" s="437"/>
    </row>
    <row r="23" spans="1:44" ht="14.25" hidden="1" customHeight="1">
      <c r="O23" s="1282"/>
    </row>
    <row r="24" spans="1:44" ht="14.25" hidden="1" customHeight="1">
      <c r="O24" s="1282"/>
    </row>
    <row r="25" spans="1:44" ht="14.25" customHeight="1">
      <c r="Q25" s="300"/>
      <c r="R25" s="300"/>
      <c r="S25" s="1197"/>
      <c r="T25" s="286"/>
      <c r="U25" s="286"/>
      <c r="V25" s="435"/>
      <c r="W25" s="435"/>
      <c r="X25" s="435"/>
      <c r="Y25" s="435"/>
      <c r="Z25" s="435"/>
      <c r="AA25" s="435"/>
      <c r="AB25" s="435"/>
      <c r="AC25" s="435"/>
      <c r="AD25" s="435"/>
      <c r="AE25" s="435"/>
      <c r="AF25" s="435"/>
      <c r="AG25" s="435"/>
      <c r="AH25" s="435"/>
      <c r="AI25" s="435"/>
      <c r="AJ25" s="435"/>
      <c r="AK25" s="435"/>
    </row>
    <row r="26" spans="1:44" ht="64.5" customHeight="1">
      <c r="Q26" s="300"/>
      <c r="R26" s="300"/>
      <c r="S26" s="2101"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101"/>
      <c r="U26" s="2101"/>
      <c r="V26" s="2101"/>
      <c r="W26" s="2101"/>
      <c r="X26" s="2101"/>
      <c r="Y26" s="2101"/>
      <c r="Z26" s="2101"/>
      <c r="AA26" s="2101"/>
      <c r="AB26" s="2101"/>
      <c r="AC26" s="2101"/>
      <c r="AD26" s="2101"/>
      <c r="AE26" s="2101"/>
      <c r="AF26" s="2101"/>
      <c r="AG26" s="2101"/>
      <c r="AH26" s="2101"/>
      <c r="AI26" s="2101"/>
      <c r="AJ26" s="2101"/>
      <c r="AK26" s="1154"/>
    </row>
    <row r="27" spans="1:44" ht="14.25" customHeight="1">
      <c r="Q27" s="300"/>
      <c r="R27" s="300"/>
      <c r="S27" s="1961" t="str">
        <f>IF(org=0,"Не определено",org)</f>
        <v>АО СЗ "КМАпроектжилстрой"</v>
      </c>
      <c r="T27" s="1961"/>
      <c r="U27" s="1961"/>
      <c r="V27" s="1961"/>
      <c r="W27" s="1961"/>
      <c r="X27" s="1961"/>
      <c r="Y27" s="1961"/>
      <c r="Z27" s="1961"/>
      <c r="AA27" s="1961"/>
      <c r="AB27" s="1961"/>
      <c r="AC27" s="1961"/>
      <c r="AD27" s="1961"/>
      <c r="AE27" s="1961"/>
      <c r="AF27" s="1961"/>
      <c r="AG27" s="1961"/>
      <c r="AH27" s="1961"/>
      <c r="AI27" s="1961"/>
      <c r="AJ27" s="1961"/>
      <c r="AK27" s="1154"/>
    </row>
    <row r="28" spans="1:44" ht="14.25" hidden="1" customHeight="1">
      <c r="Q28" s="300"/>
      <c r="R28" s="300"/>
      <c r="S28" s="1197"/>
      <c r="T28" s="286"/>
      <c r="U28" s="286"/>
      <c r="V28" s="242"/>
      <c r="W28" s="242"/>
      <c r="X28" s="242"/>
      <c r="Y28" s="242"/>
      <c r="Z28" s="242"/>
      <c r="AA28" s="242"/>
      <c r="AB28" s="242"/>
      <c r="AC28" s="242"/>
      <c r="AD28" s="242"/>
      <c r="AE28" s="242"/>
      <c r="AF28" s="242"/>
      <c r="AG28" s="242"/>
      <c r="AH28" s="242"/>
      <c r="AI28" s="242"/>
      <c r="AJ28" s="242"/>
      <c r="AK28" s="242"/>
      <c r="AL28" s="435"/>
    </row>
    <row r="29" spans="1:44" s="1773" customFormat="1" ht="25.5" hidden="1" customHeight="1">
      <c r="A29" s="1286"/>
      <c r="B29" s="1286"/>
      <c r="C29" s="1286"/>
      <c r="D29" s="1286"/>
      <c r="E29" s="1286"/>
      <c r="F29" s="1286"/>
      <c r="G29" s="1286"/>
      <c r="H29" s="1286"/>
      <c r="I29" s="1286"/>
      <c r="J29" s="1286"/>
      <c r="K29" s="1286"/>
      <c r="L29" s="1287"/>
      <c r="M29" s="1286"/>
      <c r="N29" s="1286"/>
      <c r="O29" s="1286"/>
      <c r="S29" s="2067" t="s">
        <v>40</v>
      </c>
      <c r="T29" s="2067"/>
      <c r="U29" s="1290"/>
      <c r="V29" s="2069" t="str">
        <f>IF(TITLE_NAME_OR_PR_CHANGE="",IF(TITLE_NAME_OR_PR="","",TITLE_NAME_OR_PR),TITLE_NAME_OR_PR_CHANGE)</f>
        <v/>
      </c>
      <c r="W29" s="2069"/>
      <c r="X29" s="2069"/>
      <c r="Y29" s="2069"/>
      <c r="Z29" s="2069"/>
      <c r="AA29" s="2069"/>
      <c r="AB29" s="2069"/>
      <c r="AC29" s="248"/>
      <c r="AD29" s="2069" t="str">
        <f>IF(TITLE_NAME_OR_PR_CHANGE="",IF(TITLE_NAME_OR_PR="","",TITLE_NAME_OR_PR),TITLE_NAME_OR_PR_CHANGE)</f>
        <v/>
      </c>
      <c r="AE29" s="2069"/>
      <c r="AF29" s="2069"/>
      <c r="AG29" s="2069"/>
      <c r="AH29" s="2069"/>
      <c r="AI29" s="2069"/>
      <c r="AJ29" s="2069"/>
      <c r="AK29" s="248"/>
      <c r="AL29" s="248"/>
      <c r="AM29" s="196"/>
      <c r="AN29" s="292"/>
      <c r="AO29" s="292"/>
      <c r="AP29" s="292"/>
      <c r="AQ29" s="292"/>
      <c r="AR29" s="292"/>
    </row>
    <row r="30" spans="1:44" s="1773" customFormat="1" ht="18.75" hidden="1" customHeight="1">
      <c r="A30" s="1286"/>
      <c r="B30" s="1286"/>
      <c r="C30" s="1286"/>
      <c r="D30" s="1286"/>
      <c r="E30" s="1286"/>
      <c r="F30" s="1286"/>
      <c r="G30" s="1286"/>
      <c r="H30" s="1286"/>
      <c r="I30" s="1286"/>
      <c r="J30" s="1286"/>
      <c r="K30" s="1286"/>
      <c r="L30" s="1287"/>
      <c r="M30" s="1286"/>
      <c r="N30" s="1286"/>
      <c r="O30" s="1286"/>
      <c r="S30" s="2067" t="s">
        <v>483</v>
      </c>
      <c r="T30" s="2067"/>
      <c r="U30" s="1290"/>
      <c r="V30" s="2068" t="str">
        <f>IF(TITLE_DATE_CHANGE_PERIOD="",IF(TITLE_DATE_PR="","",TITLE_DATE_PR),TITLE_DATE_CHANGE_PERIOD)</f>
        <v/>
      </c>
      <c r="W30" s="2068"/>
      <c r="X30" s="2068"/>
      <c r="Y30" s="2068"/>
      <c r="Z30" s="2068"/>
      <c r="AA30" s="2068"/>
      <c r="AB30" s="2068"/>
      <c r="AC30" s="248"/>
      <c r="AD30" s="2068" t="str">
        <f>IF(TITLE_DATE_CHANGE_PERIOD="",IF(TITLE_DATE_PR="","",TITLE_DATE_PR),TITLE_DATE_CHANGE_PERIOD)</f>
        <v/>
      </c>
      <c r="AE30" s="2068"/>
      <c r="AF30" s="2068"/>
      <c r="AG30" s="2068"/>
      <c r="AH30" s="2068"/>
      <c r="AI30" s="2068"/>
      <c r="AJ30" s="2068"/>
      <c r="AK30" s="248"/>
      <c r="AL30" s="248"/>
      <c r="AM30" s="196"/>
      <c r="AN30" s="292"/>
      <c r="AO30" s="292"/>
      <c r="AP30" s="292"/>
      <c r="AQ30" s="292"/>
      <c r="AR30" s="292"/>
    </row>
    <row r="31" spans="1:44" s="1773" customFormat="1" ht="18.75" hidden="1" customHeight="1">
      <c r="A31" s="1286"/>
      <c r="B31" s="1286"/>
      <c r="C31" s="1286"/>
      <c r="D31" s="1286"/>
      <c r="E31" s="1286"/>
      <c r="F31" s="1286"/>
      <c r="G31" s="1286"/>
      <c r="H31" s="1286"/>
      <c r="I31" s="1286"/>
      <c r="J31" s="1286"/>
      <c r="K31" s="1286"/>
      <c r="L31" s="1287"/>
      <c r="M31" s="1286"/>
      <c r="N31" s="1286"/>
      <c r="O31" s="1286"/>
      <c r="S31" s="2067" t="s">
        <v>484</v>
      </c>
      <c r="T31" s="2067"/>
      <c r="U31" s="1290"/>
      <c r="V31" s="2069" t="str">
        <f>IF(TITLE_NUMBER_PR_CHANGE="",IF(TITLE_NUMBER_PR="","",TITLE_NUMBER_PR),TITLE_NUMBER_PR_CHANGE)</f>
        <v/>
      </c>
      <c r="W31" s="2069"/>
      <c r="X31" s="2069"/>
      <c r="Y31" s="2069"/>
      <c r="Z31" s="2069"/>
      <c r="AA31" s="2069"/>
      <c r="AB31" s="2069"/>
      <c r="AC31" s="248"/>
      <c r="AD31" s="2069" t="str">
        <f>IF(TITLE_NUMBER_PR_CHANGE="",IF(TITLE_NUMBER_PR="","",TITLE_NUMBER_PR),TITLE_NUMBER_PR_CHANGE)</f>
        <v/>
      </c>
      <c r="AE31" s="2069"/>
      <c r="AF31" s="2069"/>
      <c r="AG31" s="2069"/>
      <c r="AH31" s="2069"/>
      <c r="AI31" s="2069"/>
      <c r="AJ31" s="2069"/>
      <c r="AK31" s="248"/>
      <c r="AL31" s="248"/>
      <c r="AM31" s="196"/>
      <c r="AN31" s="292"/>
      <c r="AO31" s="292"/>
      <c r="AP31" s="292"/>
      <c r="AQ31" s="292"/>
      <c r="AR31" s="292"/>
    </row>
    <row r="32" spans="1:44" s="1773" customFormat="1" ht="18.75" hidden="1" customHeight="1">
      <c r="A32" s="1286"/>
      <c r="B32" s="1286"/>
      <c r="C32" s="1286"/>
      <c r="D32" s="1286"/>
      <c r="E32" s="1286"/>
      <c r="F32" s="1286"/>
      <c r="G32" s="1286"/>
      <c r="H32" s="1286"/>
      <c r="I32" s="1286"/>
      <c r="J32" s="1286"/>
      <c r="K32" s="1286"/>
      <c r="L32" s="1287"/>
      <c r="M32" s="1286"/>
      <c r="N32" s="1286"/>
      <c r="O32" s="1286"/>
      <c r="S32" s="2067" t="s">
        <v>41</v>
      </c>
      <c r="T32" s="2067"/>
      <c r="U32" s="1290"/>
      <c r="V32" s="2069" t="str">
        <f>IF(TITLE_IST_PUB_CHANGE="",IF(TITLE_IST_PUB="","",TITLE_IST_PUB),TITLE_IST_PUB_CHANGE)</f>
        <v/>
      </c>
      <c r="W32" s="2069"/>
      <c r="X32" s="2069"/>
      <c r="Y32" s="2069"/>
      <c r="Z32" s="2069"/>
      <c r="AA32" s="2069"/>
      <c r="AB32" s="2069"/>
      <c r="AC32" s="248"/>
      <c r="AD32" s="2069" t="str">
        <f>IF(TITLE_IST_PUB_CHANGE="",IF(TITLE_IST_PUB="","",TITLE_IST_PUB),TITLE_IST_PUB_CHANGE)</f>
        <v/>
      </c>
      <c r="AE32" s="2069"/>
      <c r="AF32" s="2069"/>
      <c r="AG32" s="2069"/>
      <c r="AH32" s="2069"/>
      <c r="AI32" s="2069"/>
      <c r="AJ32" s="2069"/>
      <c r="AK32" s="248"/>
      <c r="AL32" s="248"/>
      <c r="AM32" s="196"/>
      <c r="AN32" s="292"/>
      <c r="AO32" s="292"/>
      <c r="AP32" s="292"/>
      <c r="AQ32" s="292"/>
      <c r="AR32" s="292"/>
    </row>
    <row r="33" spans="1:44" ht="14.25" hidden="1" customHeight="1">
      <c r="Q33" s="300"/>
      <c r="R33" s="300"/>
      <c r="S33" s="1197"/>
      <c r="T33" s="286"/>
      <c r="U33" s="286"/>
      <c r="V33" s="242"/>
      <c r="W33" s="242"/>
      <c r="X33" s="242"/>
      <c r="Y33" s="242"/>
      <c r="Z33" s="242"/>
      <c r="AA33" s="242"/>
      <c r="AB33" s="242"/>
      <c r="AC33" s="242"/>
      <c r="AD33" s="242"/>
      <c r="AE33" s="242"/>
      <c r="AF33" s="242"/>
      <c r="AG33" s="242"/>
      <c r="AH33" s="242"/>
      <c r="AI33" s="242"/>
      <c r="AJ33" s="242"/>
      <c r="AK33" s="242"/>
      <c r="AL33" s="435"/>
    </row>
    <row r="34" spans="1:44" s="1773" customFormat="1" ht="18.75" hidden="1" customHeight="1">
      <c r="A34" s="1286"/>
      <c r="B34" s="1286"/>
      <c r="C34" s="1286"/>
      <c r="D34" s="1286"/>
      <c r="E34" s="1286"/>
      <c r="F34" s="1286"/>
      <c r="G34" s="1286"/>
      <c r="H34" s="1286"/>
      <c r="I34" s="1286"/>
      <c r="J34" s="1286"/>
      <c r="K34" s="1286"/>
      <c r="L34" s="1287"/>
      <c r="M34" s="1286"/>
      <c r="N34" s="1286"/>
      <c r="O34" s="1286"/>
      <c r="S34" s="2067" t="s">
        <v>485</v>
      </c>
      <c r="T34" s="2067"/>
      <c r="U34" s="1290"/>
      <c r="V34" s="2068" t="str">
        <f>IF(TITLE_DATE_CHANGE_PERIOD="",IF(TITLE_DATE_PR="","",TITLE_DATE_PR),TITLE_DATE_CHANGE_PERIOD)</f>
        <v/>
      </c>
      <c r="W34" s="2068"/>
      <c r="X34" s="2068"/>
      <c r="Y34" s="2068"/>
      <c r="Z34" s="2068"/>
      <c r="AA34" s="2068"/>
      <c r="AB34" s="2068"/>
      <c r="AC34" s="248"/>
      <c r="AD34" s="2068" t="str">
        <f>IF(TITLE_DATE_CHANGE_PERIOD="",IF(TITLE_DATE_PR="","",TITLE_DATE_PR),TITLE_DATE_CHANGE_PERIOD)</f>
        <v/>
      </c>
      <c r="AE34" s="2068"/>
      <c r="AF34" s="2068"/>
      <c r="AG34" s="2068"/>
      <c r="AH34" s="2068"/>
      <c r="AI34" s="2068"/>
      <c r="AJ34" s="2068"/>
      <c r="AK34" s="248"/>
      <c r="AL34" s="248"/>
      <c r="AM34" s="196"/>
      <c r="AN34" s="292"/>
      <c r="AO34" s="292"/>
      <c r="AP34" s="292"/>
      <c r="AQ34" s="292"/>
      <c r="AR34" s="292"/>
    </row>
    <row r="35" spans="1:44" s="1773" customFormat="1" ht="18.75" hidden="1" customHeight="1">
      <c r="A35" s="1286"/>
      <c r="B35" s="1286"/>
      <c r="C35" s="1286"/>
      <c r="D35" s="1286"/>
      <c r="E35" s="1286"/>
      <c r="F35" s="1286"/>
      <c r="G35" s="1286"/>
      <c r="H35" s="1286"/>
      <c r="I35" s="1286"/>
      <c r="J35" s="1286"/>
      <c r="K35" s="1286"/>
      <c r="L35" s="1287"/>
      <c r="M35" s="1286"/>
      <c r="N35" s="1286"/>
      <c r="O35" s="1286"/>
      <c r="S35" s="2067" t="s">
        <v>486</v>
      </c>
      <c r="T35" s="2067"/>
      <c r="U35" s="1290"/>
      <c r="V35" s="2069" t="str">
        <f>IF(TITLE_NUMBER_PR_CHANGE="",IF(TITLE_NUMBER_PR="","",TITLE_NUMBER_PR),TITLE_NUMBER_PR_CHANGE)</f>
        <v/>
      </c>
      <c r="W35" s="2069"/>
      <c r="X35" s="2069"/>
      <c r="Y35" s="2069"/>
      <c r="Z35" s="2069"/>
      <c r="AA35" s="2069"/>
      <c r="AB35" s="2069"/>
      <c r="AC35" s="248"/>
      <c r="AD35" s="2069" t="str">
        <f>IF(TITLE_NUMBER_PR_CHANGE="",IF(TITLE_NUMBER_PR="","",TITLE_NUMBER_PR),TITLE_NUMBER_PR_CHANGE)</f>
        <v/>
      </c>
      <c r="AE35" s="2069"/>
      <c r="AF35" s="2069"/>
      <c r="AG35" s="2069"/>
      <c r="AH35" s="2069"/>
      <c r="AI35" s="2069"/>
      <c r="AJ35" s="2069"/>
      <c r="AK35" s="248"/>
      <c r="AL35" s="248"/>
      <c r="AM35" s="196"/>
      <c r="AN35" s="292"/>
      <c r="AO35" s="292"/>
      <c r="AP35" s="292"/>
      <c r="AQ35" s="292"/>
      <c r="AR35" s="292"/>
    </row>
    <row r="36" spans="1:44" s="1773" customFormat="1" ht="0" hidden="1" customHeight="1">
      <c r="A36" s="1286"/>
      <c r="B36" s="1286"/>
      <c r="C36" s="1286"/>
      <c r="D36" s="1286"/>
      <c r="E36" s="1286"/>
      <c r="F36" s="1286"/>
      <c r="G36" s="1286"/>
      <c r="H36" s="1286"/>
      <c r="I36" s="1286"/>
      <c r="J36" s="1286"/>
      <c r="K36" s="1286"/>
      <c r="L36" s="1287"/>
      <c r="M36" s="1286"/>
      <c r="N36" s="1286"/>
      <c r="O36" s="1286"/>
      <c r="S36" s="244"/>
      <c r="T36" s="244"/>
      <c r="U36" s="1259"/>
      <c r="V36" s="248"/>
      <c r="W36" s="248"/>
      <c r="X36" s="248"/>
      <c r="Y36" s="248"/>
      <c r="Z36" s="248"/>
      <c r="AA36" s="248"/>
      <c r="AB36" s="248"/>
      <c r="AC36" s="194" t="s">
        <v>487</v>
      </c>
      <c r="AD36" s="248"/>
      <c r="AE36" s="248"/>
      <c r="AF36" s="248"/>
      <c r="AG36" s="248"/>
      <c r="AH36" s="248"/>
      <c r="AI36" s="248"/>
      <c r="AJ36" s="248"/>
      <c r="AK36" s="194" t="s">
        <v>487</v>
      </c>
      <c r="AN36" s="292"/>
      <c r="AO36" s="292"/>
      <c r="AP36" s="292"/>
      <c r="AQ36" s="292"/>
      <c r="AR36" s="292"/>
    </row>
    <row r="37" spans="1:44" ht="14.25" customHeight="1">
      <c r="Q37" s="300"/>
      <c r="R37" s="300"/>
      <c r="S37" s="1197"/>
      <c r="T37" s="286"/>
      <c r="U37" s="1155"/>
      <c r="V37" s="2087"/>
      <c r="W37" s="2087"/>
      <c r="X37" s="2087"/>
      <c r="Y37" s="2087"/>
      <c r="Z37" s="2087"/>
      <c r="AA37" s="2087"/>
      <c r="AB37" s="2087"/>
      <c r="AC37" s="2087"/>
      <c r="AD37" s="2087"/>
      <c r="AE37" s="2087"/>
      <c r="AF37" s="2087"/>
      <c r="AG37" s="2087"/>
      <c r="AH37" s="2087"/>
      <c r="AI37" s="2087"/>
      <c r="AJ37" s="2087"/>
      <c r="AK37" s="2087"/>
    </row>
    <row r="38" spans="1:44" ht="14.25" customHeight="1">
      <c r="Q38" s="300"/>
      <c r="R38" s="300"/>
      <c r="S38" s="1874" t="s">
        <v>291</v>
      </c>
      <c r="T38" s="1874"/>
      <c r="U38" s="1874"/>
      <c r="V38" s="1874"/>
      <c r="W38" s="1874"/>
      <c r="X38" s="1874"/>
      <c r="Y38" s="1874"/>
      <c r="Z38" s="1874"/>
      <c r="AA38" s="1874"/>
      <c r="AB38" s="1874"/>
      <c r="AC38" s="1874"/>
      <c r="AD38" s="1874"/>
      <c r="AE38" s="1874"/>
      <c r="AF38" s="1874"/>
      <c r="AG38" s="1874"/>
      <c r="AH38" s="1874"/>
      <c r="AI38" s="1874"/>
      <c r="AJ38" s="1874"/>
      <c r="AK38" s="1874"/>
      <c r="AL38" s="1874"/>
      <c r="AM38" s="1874" t="s">
        <v>292</v>
      </c>
    </row>
    <row r="39" spans="1:44" ht="14.25" customHeight="1">
      <c r="Q39" s="300"/>
      <c r="R39" s="300"/>
      <c r="S39" s="2088" t="s">
        <v>88</v>
      </c>
      <c r="T39" s="1959" t="s">
        <v>488</v>
      </c>
      <c r="U39" s="215"/>
      <c r="V39" s="2089" t="s">
        <v>489</v>
      </c>
      <c r="W39" s="2090"/>
      <c r="X39" s="2090"/>
      <c r="Y39" s="2090"/>
      <c r="Z39" s="2090"/>
      <c r="AA39" s="2090"/>
      <c r="AB39" s="2091"/>
      <c r="AC39" s="2092" t="s">
        <v>490</v>
      </c>
      <c r="AD39" s="2089" t="s">
        <v>489</v>
      </c>
      <c r="AE39" s="2090"/>
      <c r="AF39" s="2090"/>
      <c r="AG39" s="2090"/>
      <c r="AH39" s="2090"/>
      <c r="AI39" s="2090"/>
      <c r="AJ39" s="2091"/>
      <c r="AK39" s="2092" t="s">
        <v>491</v>
      </c>
      <c r="AL39" s="2095" t="s">
        <v>492</v>
      </c>
      <c r="AM39" s="1874"/>
    </row>
    <row r="40" spans="1:44" ht="33.75" customHeight="1">
      <c r="Q40" s="300"/>
      <c r="R40" s="300"/>
      <c r="S40" s="2088"/>
      <c r="T40" s="1959"/>
      <c r="U40" s="939"/>
      <c r="V40" s="1928" t="s">
        <v>493</v>
      </c>
      <c r="W40" s="2084"/>
      <c r="X40" s="1856" t="s">
        <v>495</v>
      </c>
      <c r="Y40" s="1855"/>
      <c r="Z40" s="1856" t="s">
        <v>496</v>
      </c>
      <c r="AA40" s="1861"/>
      <c r="AB40" s="1855"/>
      <c r="AC40" s="2093"/>
      <c r="AD40" s="1928" t="s">
        <v>493</v>
      </c>
      <c r="AE40" s="2084"/>
      <c r="AF40" s="1856" t="s">
        <v>495</v>
      </c>
      <c r="AG40" s="1855"/>
      <c r="AH40" s="1856" t="s">
        <v>496</v>
      </c>
      <c r="AI40" s="1861"/>
      <c r="AJ40" s="1855"/>
      <c r="AK40" s="2093"/>
      <c r="AL40" s="2096"/>
      <c r="AM40" s="1874"/>
    </row>
    <row r="41" spans="1:44" ht="33.75" customHeight="1">
      <c r="A41" s="1288"/>
      <c r="B41" s="1288" t="s">
        <v>140</v>
      </c>
      <c r="C41" s="1288" t="s">
        <v>141</v>
      </c>
      <c r="D41" s="1288" t="s">
        <v>142</v>
      </c>
      <c r="E41" s="1282" t="s">
        <v>497</v>
      </c>
      <c r="F41" s="1282" t="s">
        <v>498</v>
      </c>
      <c r="G41" s="1282" t="s">
        <v>499</v>
      </c>
      <c r="H41" s="1282" t="s">
        <v>500</v>
      </c>
      <c r="I41" s="1282" t="s">
        <v>501</v>
      </c>
      <c r="J41" s="1282" t="s">
        <v>502</v>
      </c>
      <c r="K41" s="1282" t="s">
        <v>503</v>
      </c>
      <c r="L41" s="1282" t="s">
        <v>478</v>
      </c>
      <c r="Q41" s="300"/>
      <c r="R41" s="300"/>
      <c r="S41" s="2088"/>
      <c r="T41" s="1959"/>
      <c r="U41" s="216"/>
      <c r="V41" s="1984"/>
      <c r="W41" s="2085"/>
      <c r="X41" s="1130" t="s">
        <v>504</v>
      </c>
      <c r="Y41" s="1130" t="s">
        <v>505</v>
      </c>
      <c r="Z41" s="1257" t="s">
        <v>506</v>
      </c>
      <c r="AA41" s="1965" t="s">
        <v>507</v>
      </c>
      <c r="AB41" s="1979"/>
      <c r="AC41" s="2094"/>
      <c r="AD41" s="1984"/>
      <c r="AE41" s="2085"/>
      <c r="AF41" s="1130" t="s">
        <v>504</v>
      </c>
      <c r="AG41" s="1130" t="s">
        <v>505</v>
      </c>
      <c r="AH41" s="1257" t="s">
        <v>506</v>
      </c>
      <c r="AI41" s="1965" t="s">
        <v>507</v>
      </c>
      <c r="AJ41" s="1979"/>
      <c r="AK41" s="2094"/>
      <c r="AL41" s="2097"/>
      <c r="AM41" s="1874"/>
    </row>
    <row r="42" spans="1:44" s="1558" customFormat="1" ht="11.25" hidden="1" customHeight="1">
      <c r="A42" s="1288"/>
      <c r="B42" s="1288"/>
      <c r="C42" s="1288"/>
      <c r="D42" s="1288"/>
      <c r="E42" s="1288"/>
      <c r="F42" s="1288"/>
      <c r="G42" s="1288"/>
      <c r="H42" s="1288"/>
      <c r="I42" s="1288"/>
      <c r="J42" s="1288"/>
      <c r="K42" s="1288"/>
      <c r="L42" s="1282"/>
      <c r="M42" s="1280"/>
      <c r="N42" s="1280"/>
      <c r="O42" s="1280"/>
      <c r="P42" s="1157"/>
      <c r="Q42" s="1158"/>
      <c r="R42" s="1173">
        <v>1</v>
      </c>
      <c r="S42" s="1199" t="s">
        <v>109</v>
      </c>
      <c r="T42" s="1174" t="s">
        <v>110</v>
      </c>
      <c r="U42" s="1156" t="str">
        <f ca="1">OFFSET(U42,0,-1)</f>
        <v>2</v>
      </c>
      <c r="V42" s="1254">
        <f ca="1">OFFSET(V42,0,-1)+1</f>
        <v>3</v>
      </c>
      <c r="W42" s="1254"/>
      <c r="X42" s="1254">
        <f ca="1">OFFSET(X42,0,-1)+1</f>
        <v>1</v>
      </c>
      <c r="Y42" s="1254">
        <f ca="1">OFFSET(Y42,0,-1)+1</f>
        <v>2</v>
      </c>
      <c r="Z42" s="1254">
        <f ca="1">OFFSET(Z42,0,-1)+1</f>
        <v>3</v>
      </c>
      <c r="AA42" s="2086">
        <f ca="1">OFFSET(AA42,0,-1)+1</f>
        <v>4</v>
      </c>
      <c r="AB42" s="2086"/>
      <c r="AC42" s="1254">
        <f ca="1">OFFSET(AC42,0,-2)+1</f>
        <v>5</v>
      </c>
      <c r="AD42" s="1254">
        <f ca="1">OFFSET(AD42,0,-1)+1</f>
        <v>6</v>
      </c>
      <c r="AE42" s="1254"/>
      <c r="AF42" s="1254">
        <f ca="1">OFFSET(AF42,0,-1)+1</f>
        <v>1</v>
      </c>
      <c r="AG42" s="1254">
        <f ca="1">OFFSET(AG42,0,-1)+1</f>
        <v>2</v>
      </c>
      <c r="AH42" s="1254">
        <f ca="1">OFFSET(AH42,0,-1)+1</f>
        <v>3</v>
      </c>
      <c r="AI42" s="2086">
        <f ca="1">OFFSET(AI42,0,-1)+1</f>
        <v>4</v>
      </c>
      <c r="AJ42" s="2086"/>
      <c r="AK42" s="1254">
        <f ca="1">OFFSET(AK42,0,-2)+1</f>
        <v>5</v>
      </c>
      <c r="AL42" s="1156">
        <f ca="1">OFFSET(AL42,0,-1)</f>
        <v>5</v>
      </c>
      <c r="AM42" s="1254">
        <f ca="1">OFFSET(AM42,0,-1)+1</f>
        <v>6</v>
      </c>
      <c r="AN42" s="437"/>
      <c r="AO42" s="437"/>
      <c r="AP42" s="437"/>
      <c r="AQ42" s="437"/>
      <c r="AR42" s="437"/>
    </row>
    <row r="43" spans="1:44" ht="21" customHeight="1">
      <c r="A43" s="1281" t="s">
        <v>173</v>
      </c>
      <c r="B43" s="1281"/>
      <c r="C43" s="1281"/>
      <c r="D43" s="1281"/>
      <c r="E43" s="2076">
        <v>1</v>
      </c>
      <c r="F43" s="1281"/>
      <c r="G43" s="1281"/>
      <c r="H43" s="1281"/>
      <c r="I43" s="1281"/>
      <c r="J43" s="1281"/>
      <c r="K43" s="1281"/>
      <c r="L43" s="1282"/>
      <c r="M43" s="1283"/>
      <c r="N43" s="1283"/>
      <c r="O43" s="1283"/>
      <c r="P43" s="282"/>
      <c r="Q43" s="281"/>
      <c r="R43" s="276"/>
      <c r="S43" s="1255">
        <f>INDEX(PT_DIFFERENTIATION_NUM_NTAR,MATCH(A43,PT_DIFFERENTIATION_NTAR_ID,0))</f>
        <v>0</v>
      </c>
      <c r="T43" s="212" t="s">
        <v>128</v>
      </c>
      <c r="U43" s="214"/>
      <c r="V43" s="2070"/>
      <c r="W43" s="2071"/>
      <c r="X43" s="2071"/>
      <c r="Y43" s="2071"/>
      <c r="Z43" s="2071"/>
      <c r="AA43" s="2071"/>
      <c r="AB43" s="2071"/>
      <c r="AC43" s="2072"/>
      <c r="AD43" s="2070" t="str">
        <f>INDEX(PT_DIFFERENTIATION_NTAR,MATCH(A43,PT_DIFFERENTIATION_NTAR_ID,0))</f>
        <v/>
      </c>
      <c r="AE43" s="2071"/>
      <c r="AF43" s="2071"/>
      <c r="AG43" s="2071"/>
      <c r="AH43" s="2071"/>
      <c r="AI43" s="2071"/>
      <c r="AJ43" s="2071"/>
      <c r="AK43" s="2071"/>
      <c r="AL43" s="2072"/>
      <c r="AM43" s="1179"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426"/>
      <c r="AP43" s="426" t="str">
        <f t="shared" ref="AP43:AP57" si="1">IF(T43="","",T43)</f>
        <v>Наименование тарифа</v>
      </c>
      <c r="AQ43" s="426"/>
      <c r="AR43" s="426"/>
    </row>
    <row r="44" spans="1:44" ht="21" customHeight="1">
      <c r="A44" s="1281" t="s">
        <v>173</v>
      </c>
      <c r="B44" s="1281" t="s">
        <v>174</v>
      </c>
      <c r="C44" s="1281"/>
      <c r="D44" s="1281"/>
      <c r="E44" s="2077"/>
      <c r="F44" s="2076">
        <v>1</v>
      </c>
      <c r="G44" s="1281"/>
      <c r="H44" s="1281"/>
      <c r="I44" s="1281"/>
      <c r="J44" s="1281"/>
      <c r="K44" s="1281"/>
      <c r="L44" s="1282"/>
      <c r="M44" s="1283"/>
      <c r="N44" s="1283"/>
      <c r="O44" s="1283"/>
      <c r="P44" s="1251"/>
      <c r="Q44" s="273"/>
      <c r="R44" s="274"/>
      <c r="S44" s="1255" t="str">
        <f>INDEX(PT_DIFFERENTIATION_NUM_TER,MATCH(B44,PT_DIFFERENTIATION_TER_ID,0))</f>
        <v>.</v>
      </c>
      <c r="T44" s="224" t="s">
        <v>460</v>
      </c>
      <c r="U44" s="214"/>
      <c r="V44" s="2070"/>
      <c r="W44" s="2071"/>
      <c r="X44" s="2071"/>
      <c r="Y44" s="2071"/>
      <c r="Z44" s="2071"/>
      <c r="AA44" s="2071"/>
      <c r="AB44" s="2071"/>
      <c r="AC44" s="2072"/>
      <c r="AD44" s="2070" t="str">
        <f>INDEX(PT_DIFFERENTIATION_TER,MATCH(B44,PT_DIFFERENTIATION_TER_ID,0))</f>
        <v/>
      </c>
      <c r="AE44" s="2071"/>
      <c r="AF44" s="2071"/>
      <c r="AG44" s="2071"/>
      <c r="AH44" s="2071"/>
      <c r="AI44" s="2071"/>
      <c r="AJ44" s="2071"/>
      <c r="AK44" s="2071"/>
      <c r="AL44" s="2072"/>
      <c r="AM44" s="1179" t="s">
        <v>461</v>
      </c>
      <c r="AO44" s="426"/>
      <c r="AP44" s="426" t="str">
        <f t="shared" si="1"/>
        <v>Территория действия тарифа</v>
      </c>
      <c r="AQ44" s="426"/>
      <c r="AR44" s="426"/>
    </row>
    <row r="45" spans="1:44" ht="23.25" customHeight="1">
      <c r="A45" s="1281" t="s">
        <v>173</v>
      </c>
      <c r="B45" s="1281" t="s">
        <v>174</v>
      </c>
      <c r="C45" s="1281" t="s">
        <v>175</v>
      </c>
      <c r="D45" s="1281"/>
      <c r="E45" s="2077"/>
      <c r="F45" s="2077"/>
      <c r="G45" s="2076">
        <v>1</v>
      </c>
      <c r="H45" s="1281"/>
      <c r="I45" s="1281"/>
      <c r="J45" s="1281"/>
      <c r="K45" s="1281"/>
      <c r="L45" s="1282"/>
      <c r="M45" s="1283"/>
      <c r="N45" s="1283"/>
      <c r="O45" s="1283"/>
      <c r="P45" s="275"/>
      <c r="Q45" s="273"/>
      <c r="R45" s="274"/>
      <c r="S45" s="1255" t="str">
        <f>INDEX(PT_DIFFERENTIATION_NUM_CS,MATCH(C45,PT_DIFFERENTIATION_CS_ID,0))</f>
        <v>..</v>
      </c>
      <c r="T45" s="225" t="s">
        <v>462</v>
      </c>
      <c r="U45" s="214"/>
      <c r="V45" s="2070"/>
      <c r="W45" s="2071"/>
      <c r="X45" s="2071"/>
      <c r="Y45" s="2071"/>
      <c r="Z45" s="2071"/>
      <c r="AA45" s="2071"/>
      <c r="AB45" s="2071"/>
      <c r="AC45" s="2072"/>
      <c r="AD45" s="2070" t="str">
        <f>INDEX(PT_DIFFERENTIATION_CS,MATCH(C45,PT_DIFFERENTIATION_CS_ID,0))</f>
        <v/>
      </c>
      <c r="AE45" s="2071"/>
      <c r="AF45" s="2071"/>
      <c r="AG45" s="2071"/>
      <c r="AH45" s="2071"/>
      <c r="AI45" s="2071"/>
      <c r="AJ45" s="2071"/>
      <c r="AK45" s="2071"/>
      <c r="AL45" s="2072"/>
      <c r="AM45" s="1179" t="s">
        <v>463</v>
      </c>
      <c r="AO45" s="426"/>
      <c r="AP45" s="426" t="str">
        <f t="shared" si="1"/>
        <v xml:space="preserve">Наименование системы теплоснабжения </v>
      </c>
      <c r="AQ45" s="426"/>
      <c r="AR45" s="426"/>
    </row>
    <row r="46" spans="1:44" ht="21" customHeight="1">
      <c r="A46" s="1281" t="s">
        <v>173</v>
      </c>
      <c r="B46" s="1281" t="s">
        <v>174</v>
      </c>
      <c r="C46" s="1281" t="s">
        <v>175</v>
      </c>
      <c r="D46" s="1281" t="s">
        <v>176</v>
      </c>
      <c r="E46" s="2077"/>
      <c r="F46" s="2077"/>
      <c r="G46" s="2077"/>
      <c r="H46" s="2076">
        <v>1</v>
      </c>
      <c r="I46" s="1281"/>
      <c r="J46" s="1281"/>
      <c r="K46" s="1281"/>
      <c r="L46" s="1282"/>
      <c r="M46" s="1283"/>
      <c r="N46" s="1283"/>
      <c r="O46" s="1283"/>
      <c r="P46" s="275"/>
      <c r="Q46" s="273"/>
      <c r="R46" s="274"/>
      <c r="S46" s="1255" t="str">
        <f>INDEX(PT_DIFFERENTIATION_NUM_IST_TE,MATCH(D46,PT_DIFFERENTIATION_IST_TE_ID,0))</f>
        <v>...</v>
      </c>
      <c r="T46" s="226" t="s">
        <v>464</v>
      </c>
      <c r="U46" s="214"/>
      <c r="V46" s="2070"/>
      <c r="W46" s="2071"/>
      <c r="X46" s="2071"/>
      <c r="Y46" s="2071"/>
      <c r="Z46" s="2071"/>
      <c r="AA46" s="2071"/>
      <c r="AB46" s="2071"/>
      <c r="AC46" s="2072"/>
      <c r="AD46" s="2070" t="str">
        <f>INDEX(PT_DIFFERENTIATION_IST_TE,MATCH(D46,PT_DIFFERENTIATION_IST_TE_ID,0))</f>
        <v/>
      </c>
      <c r="AE46" s="2071"/>
      <c r="AF46" s="2071"/>
      <c r="AG46" s="2071"/>
      <c r="AH46" s="2071"/>
      <c r="AI46" s="2071"/>
      <c r="AJ46" s="2071"/>
      <c r="AK46" s="2071"/>
      <c r="AL46" s="2072"/>
      <c r="AM46" s="1179" t="s">
        <v>465</v>
      </c>
      <c r="AO46" s="426"/>
      <c r="AP46" s="426" t="str">
        <f t="shared" si="1"/>
        <v xml:space="preserve">Источник тепловой энергии  </v>
      </c>
      <c r="AQ46" s="426"/>
      <c r="AR46" s="426"/>
    </row>
    <row r="47" spans="1:44" s="1559" customFormat="1" ht="0" hidden="1" customHeight="1">
      <c r="A47" s="1262" t="s">
        <v>173</v>
      </c>
      <c r="B47" s="1262" t="s">
        <v>174</v>
      </c>
      <c r="C47" s="1262" t="s">
        <v>175</v>
      </c>
      <c r="D47" s="1262" t="s">
        <v>176</v>
      </c>
      <c r="E47" s="2077"/>
      <c r="F47" s="2077"/>
      <c r="G47" s="2077"/>
      <c r="H47" s="2077"/>
      <c r="I47" s="2078" t="str">
        <f>S46&amp;".1"</f>
        <v>....1</v>
      </c>
      <c r="J47" s="1262"/>
      <c r="K47" s="1262"/>
      <c r="L47" s="1265" t="s">
        <v>466</v>
      </c>
      <c r="M47" s="436"/>
      <c r="N47" s="436"/>
      <c r="O47" s="436"/>
      <c r="P47" s="1995">
        <v>1</v>
      </c>
      <c r="Q47" s="1250"/>
      <c r="R47" s="277"/>
      <c r="S47" s="950"/>
      <c r="T47" s="1301"/>
      <c r="U47" s="1302"/>
      <c r="V47" s="2105"/>
      <c r="W47" s="2106"/>
      <c r="X47" s="2106"/>
      <c r="Y47" s="2106"/>
      <c r="Z47" s="2106"/>
      <c r="AA47" s="2106"/>
      <c r="AB47" s="2106"/>
      <c r="AC47" s="2107"/>
      <c r="AD47" s="2105"/>
      <c r="AE47" s="2106"/>
      <c r="AF47" s="2106"/>
      <c r="AG47" s="2106"/>
      <c r="AH47" s="2106"/>
      <c r="AI47" s="2106"/>
      <c r="AJ47" s="2106"/>
      <c r="AK47" s="2106"/>
      <c r="AL47" s="2107"/>
      <c r="AM47" s="1303"/>
      <c r="AO47" s="426"/>
      <c r="AP47" s="426" t="str">
        <f t="shared" si="1"/>
        <v/>
      </c>
      <c r="AQ47" s="426"/>
      <c r="AR47" s="426"/>
    </row>
    <row r="48" spans="1:44" ht="21" customHeight="1">
      <c r="A48" s="1281" t="s">
        <v>173</v>
      </c>
      <c r="B48" s="1281" t="s">
        <v>174</v>
      </c>
      <c r="C48" s="1281" t="s">
        <v>175</v>
      </c>
      <c r="D48" s="1281" t="s">
        <v>176</v>
      </c>
      <c r="E48" s="2077"/>
      <c r="F48" s="2077"/>
      <c r="G48" s="2077"/>
      <c r="H48" s="2077"/>
      <c r="I48" s="2079"/>
      <c r="J48" s="2078" t="str">
        <f>S46&amp;".1"</f>
        <v>....1</v>
      </c>
      <c r="K48" s="1281"/>
      <c r="L48" s="1282" t="s">
        <v>469</v>
      </c>
      <c r="P48" s="1995"/>
      <c r="Q48" s="1995">
        <v>1</v>
      </c>
      <c r="R48" s="278"/>
      <c r="S48" s="1255" t="str">
        <f>$J48</f>
        <v>....1</v>
      </c>
      <c r="T48" s="201" t="s">
        <v>470</v>
      </c>
      <c r="U48" s="214"/>
      <c r="V48" s="2064"/>
      <c r="W48" s="2065"/>
      <c r="X48" s="2065"/>
      <c r="Y48" s="2065"/>
      <c r="Z48" s="2065"/>
      <c r="AA48" s="2065"/>
      <c r="AB48" s="2065"/>
      <c r="AC48" s="2066"/>
      <c r="AD48" s="2064"/>
      <c r="AE48" s="2065"/>
      <c r="AF48" s="2065"/>
      <c r="AG48" s="2065"/>
      <c r="AH48" s="2065"/>
      <c r="AI48" s="2065"/>
      <c r="AJ48" s="2065"/>
      <c r="AK48" s="2065"/>
      <c r="AL48" s="2066"/>
      <c r="AM48" s="1179" t="s">
        <v>471</v>
      </c>
      <c r="AO48" s="426"/>
      <c r="AP48" s="426" t="str">
        <f t="shared" si="1"/>
        <v>Группа потребителей</v>
      </c>
      <c r="AQ48" s="426"/>
      <c r="AR48" s="426"/>
    </row>
    <row r="49" spans="1:44" ht="21" customHeight="1">
      <c r="A49" s="1281" t="s">
        <v>173</v>
      </c>
      <c r="B49" s="1281" t="s">
        <v>174</v>
      </c>
      <c r="C49" s="1281" t="s">
        <v>175</v>
      </c>
      <c r="D49" s="1281" t="s">
        <v>176</v>
      </c>
      <c r="E49" s="2077"/>
      <c r="F49" s="2077"/>
      <c r="G49" s="2077"/>
      <c r="H49" s="2077"/>
      <c r="I49" s="2079"/>
      <c r="J49" s="2079"/>
      <c r="K49" s="2078" t="str">
        <f>J48&amp;".1"</f>
        <v>....1.1</v>
      </c>
      <c r="L49" s="1282" t="s">
        <v>472</v>
      </c>
      <c r="P49" s="1995"/>
      <c r="Q49" s="1995"/>
      <c r="R49" s="278">
        <v>1</v>
      </c>
      <c r="S49" s="1255" t="str">
        <f>$K49</f>
        <v>....1.1</v>
      </c>
      <c r="T49" s="1266"/>
      <c r="U49" s="214"/>
      <c r="V49" s="664"/>
      <c r="W49" s="246"/>
      <c r="X49" s="664"/>
      <c r="Y49" s="1178"/>
      <c r="Z49" s="2080"/>
      <c r="AA49" s="1885" t="s">
        <v>59</v>
      </c>
      <c r="AB49" s="2080"/>
      <c r="AC49" s="1885" t="s">
        <v>59</v>
      </c>
      <c r="AD49" s="664"/>
      <c r="AE49" s="246"/>
      <c r="AF49" s="664"/>
      <c r="AG49" s="1178"/>
      <c r="AH49" s="2080"/>
      <c r="AI49" s="1885" t="s">
        <v>59</v>
      </c>
      <c r="AJ49" s="2082"/>
      <c r="AK49" s="1885" t="s">
        <v>59</v>
      </c>
      <c r="AL49" s="1267"/>
      <c r="AM49" s="2098" t="s">
        <v>516</v>
      </c>
      <c r="AN49" s="437" t="e">
        <f ca="1">STRCHECKDATE(V50:AL50)</f>
        <v>#NAME?</v>
      </c>
      <c r="AO49" s="426"/>
      <c r="AP49" s="426" t="str">
        <f t="shared" si="1"/>
        <v/>
      </c>
      <c r="AQ49" s="426"/>
      <c r="AR49" s="426"/>
    </row>
    <row r="50" spans="1:44" ht="0.75" customHeight="1">
      <c r="A50" s="1281" t="s">
        <v>173</v>
      </c>
      <c r="B50" s="1281" t="s">
        <v>174</v>
      </c>
      <c r="C50" s="1281" t="s">
        <v>175</v>
      </c>
      <c r="D50" s="1281" t="s">
        <v>176</v>
      </c>
      <c r="E50" s="2077"/>
      <c r="F50" s="2077"/>
      <c r="G50" s="2077"/>
      <c r="H50" s="2077"/>
      <c r="I50" s="2079"/>
      <c r="J50" s="2079"/>
      <c r="K50" s="2078"/>
      <c r="L50" s="1282"/>
      <c r="P50" s="1995"/>
      <c r="Q50" s="1995"/>
      <c r="R50" s="278"/>
      <c r="S50" s="1261"/>
      <c r="T50" s="214"/>
      <c r="U50" s="214"/>
      <c r="V50" s="246"/>
      <c r="W50" s="246"/>
      <c r="X50" s="246"/>
      <c r="Y50" s="250" t="str">
        <f>Z49&amp;"-"&amp;AB49</f>
        <v>-</v>
      </c>
      <c r="Z50" s="2081"/>
      <c r="AA50" s="1885"/>
      <c r="AB50" s="2081"/>
      <c r="AC50" s="1885"/>
      <c r="AD50" s="246"/>
      <c r="AE50" s="246"/>
      <c r="AF50" s="246"/>
      <c r="AG50" s="250" t="str">
        <f>AH49&amp;"-"&amp;AJ49</f>
        <v>-</v>
      </c>
      <c r="AH50" s="2081"/>
      <c r="AI50" s="1885"/>
      <c r="AJ50" s="2083"/>
      <c r="AK50" s="1885"/>
      <c r="AL50" s="1268"/>
      <c r="AM50" s="2099"/>
      <c r="AO50" s="426"/>
      <c r="AP50" s="426" t="str">
        <f t="shared" si="1"/>
        <v/>
      </c>
      <c r="AQ50" s="426"/>
      <c r="AR50" s="426"/>
    </row>
    <row r="51" spans="1:44" ht="11.25" customHeight="1">
      <c r="A51" s="1281" t="s">
        <v>173</v>
      </c>
      <c r="B51" s="1281" t="s">
        <v>174</v>
      </c>
      <c r="C51" s="1281" t="s">
        <v>175</v>
      </c>
      <c r="D51" s="1281" t="s">
        <v>176</v>
      </c>
      <c r="E51" s="2077"/>
      <c r="F51" s="2077"/>
      <c r="G51" s="2077"/>
      <c r="H51" s="2077"/>
      <c r="I51" s="2079"/>
      <c r="J51" s="2078"/>
      <c r="K51" s="1281"/>
      <c r="L51" s="1282"/>
      <c r="P51" s="1995"/>
      <c r="Q51" s="1995"/>
      <c r="R51" s="277"/>
      <c r="S51" s="1200"/>
      <c r="T51" s="202" t="s">
        <v>474</v>
      </c>
      <c r="U51" s="291"/>
      <c r="V51" s="291"/>
      <c r="W51" s="291"/>
      <c r="X51" s="291"/>
      <c r="Y51" s="291"/>
      <c r="Z51" s="291"/>
      <c r="AA51" s="291"/>
      <c r="AB51" s="291"/>
      <c r="AC51" s="291"/>
      <c r="AD51" s="291"/>
      <c r="AE51" s="291"/>
      <c r="AF51" s="291"/>
      <c r="AG51" s="291"/>
      <c r="AH51" s="291"/>
      <c r="AI51" s="291"/>
      <c r="AJ51" s="291"/>
      <c r="AK51" s="291"/>
      <c r="AL51" s="245"/>
      <c r="AM51" s="2100"/>
      <c r="AO51" s="426"/>
      <c r="AP51" s="426" t="str">
        <f t="shared" si="1"/>
        <v>Добавить вид теплоносителя (параметры теплоносителя)</v>
      </c>
      <c r="AQ51" s="426"/>
      <c r="AR51" s="426"/>
    </row>
    <row r="52" spans="1:44" ht="11.25" customHeight="1">
      <c r="A52" s="1281" t="s">
        <v>173</v>
      </c>
      <c r="B52" s="1281" t="s">
        <v>174</v>
      </c>
      <c r="C52" s="1281" t="s">
        <v>175</v>
      </c>
      <c r="D52" s="1281" t="s">
        <v>176</v>
      </c>
      <c r="E52" s="2077"/>
      <c r="F52" s="2077"/>
      <c r="G52" s="2077"/>
      <c r="H52" s="2077"/>
      <c r="I52" s="2078"/>
      <c r="J52" s="1281"/>
      <c r="K52" s="1281"/>
      <c r="L52" s="1282"/>
      <c r="P52" s="1995"/>
      <c r="Q52" s="1250"/>
      <c r="R52" s="277"/>
      <c r="S52" s="1200"/>
      <c r="T52" s="288" t="s">
        <v>475</v>
      </c>
      <c r="U52" s="291"/>
      <c r="V52" s="291"/>
      <c r="W52" s="291"/>
      <c r="X52" s="291"/>
      <c r="Y52" s="291"/>
      <c r="Z52" s="291"/>
      <c r="AA52" s="291"/>
      <c r="AB52" s="291"/>
      <c r="AC52" s="290"/>
      <c r="AD52" s="291"/>
      <c r="AE52" s="291"/>
      <c r="AF52" s="291"/>
      <c r="AG52" s="291"/>
      <c r="AH52" s="291"/>
      <c r="AI52" s="291"/>
      <c r="AJ52" s="291"/>
      <c r="AK52" s="290"/>
      <c r="AL52" s="291"/>
      <c r="AM52" s="217"/>
      <c r="AO52" s="426"/>
      <c r="AP52" s="426" t="str">
        <f t="shared" si="1"/>
        <v>Добавить группу потребителей</v>
      </c>
      <c r="AQ52" s="426"/>
      <c r="AR52" s="426"/>
    </row>
    <row r="53" spans="1:44" ht="0" hidden="1" customHeight="1">
      <c r="A53" s="1281" t="s">
        <v>173</v>
      </c>
      <c r="B53" s="1281" t="s">
        <v>174</v>
      </c>
      <c r="C53" s="1281" t="s">
        <v>175</v>
      </c>
      <c r="D53" s="1281" t="s">
        <v>176</v>
      </c>
      <c r="E53" s="2077"/>
      <c r="F53" s="2077"/>
      <c r="G53" s="2077"/>
      <c r="H53" s="2076"/>
      <c r="I53" s="1281"/>
      <c r="J53" s="1281"/>
      <c r="K53" s="1281"/>
      <c r="L53" s="1282"/>
      <c r="M53" s="1283"/>
      <c r="N53" s="1283"/>
      <c r="O53" s="462"/>
      <c r="P53" s="281"/>
      <c r="Q53" s="299"/>
      <c r="R53" s="276"/>
      <c r="S53" s="1304"/>
      <c r="T53" s="1305"/>
      <c r="U53" s="1306"/>
      <c r="V53" s="1306"/>
      <c r="W53" s="1306"/>
      <c r="X53" s="1306"/>
      <c r="Y53" s="1306"/>
      <c r="Z53" s="1306"/>
      <c r="AA53" s="1306"/>
      <c r="AB53" s="1306"/>
      <c r="AC53" s="1306"/>
      <c r="AD53" s="1306"/>
      <c r="AE53" s="1306"/>
      <c r="AF53" s="1306"/>
      <c r="AG53" s="1306"/>
      <c r="AH53" s="1306"/>
      <c r="AI53" s="1306"/>
      <c r="AJ53" s="1306"/>
      <c r="AK53" s="1306"/>
      <c r="AL53" s="1306"/>
      <c r="AM53" s="1307"/>
      <c r="AO53" s="426"/>
      <c r="AP53" s="426" t="str">
        <f t="shared" si="1"/>
        <v/>
      </c>
      <c r="AQ53" s="426"/>
      <c r="AR53" s="426"/>
    </row>
    <row r="54" spans="1:44" s="1559" customFormat="1" ht="0.75" customHeight="1">
      <c r="A54" s="1262" t="s">
        <v>173</v>
      </c>
      <c r="B54" s="1262" t="s">
        <v>174</v>
      </c>
      <c r="C54" s="1262" t="s">
        <v>175</v>
      </c>
      <c r="D54" s="1234"/>
      <c r="E54" s="2077"/>
      <c r="F54" s="2077"/>
      <c r="G54" s="2076"/>
      <c r="H54" s="1234"/>
      <c r="I54" s="1234"/>
      <c r="J54" s="1234"/>
      <c r="K54" s="1234"/>
      <c r="L54" s="1258"/>
      <c r="M54" s="1235"/>
      <c r="N54" s="1235"/>
      <c r="P54" s="1236"/>
      <c r="Q54" s="1237"/>
      <c r="R54" s="1236"/>
      <c r="S54" s="1242"/>
      <c r="T54" s="1245" t="s">
        <v>433</v>
      </c>
      <c r="U54" s="1244"/>
      <c r="V54" s="1244"/>
      <c r="W54" s="1244"/>
      <c r="X54" s="1244"/>
      <c r="Y54" s="1244"/>
      <c r="Z54" s="1244"/>
      <c r="AA54" s="1244"/>
      <c r="AB54" s="1244"/>
      <c r="AC54" s="1244"/>
      <c r="AD54" s="1244"/>
      <c r="AE54" s="1244"/>
      <c r="AF54" s="1244"/>
      <c r="AG54" s="1244"/>
      <c r="AH54" s="1244"/>
      <c r="AI54" s="1244"/>
      <c r="AJ54" s="1244"/>
      <c r="AK54" s="1244"/>
      <c r="AL54" s="1244"/>
      <c r="AM54" s="1244"/>
      <c r="AO54" s="702"/>
      <c r="AP54" s="702" t="str">
        <f t="shared" si="1"/>
        <v>Добавить источник для дифференциации</v>
      </c>
      <c r="AQ54" s="702"/>
      <c r="AR54" s="702"/>
    </row>
    <row r="55" spans="1:44" s="1559" customFormat="1" ht="0.75" customHeight="1">
      <c r="A55" s="1262" t="s">
        <v>173</v>
      </c>
      <c r="B55" s="1262" t="s">
        <v>174</v>
      </c>
      <c r="C55" s="1234"/>
      <c r="D55" s="1234"/>
      <c r="E55" s="2077"/>
      <c r="F55" s="2076"/>
      <c r="G55" s="1234"/>
      <c r="H55" s="1234"/>
      <c r="I55" s="1234"/>
      <c r="J55" s="1234"/>
      <c r="K55" s="1234"/>
      <c r="L55" s="1258"/>
      <c r="M55" s="1241"/>
      <c r="N55" s="1241"/>
      <c r="P55" s="1236"/>
      <c r="Q55" s="1237"/>
      <c r="R55" s="1236"/>
      <c r="S55" s="1242"/>
      <c r="T55" s="1245" t="s">
        <v>434</v>
      </c>
      <c r="U55" s="1244"/>
      <c r="V55" s="1244"/>
      <c r="W55" s="1244"/>
      <c r="X55" s="1244"/>
      <c r="Y55" s="1244"/>
      <c r="Z55" s="1244"/>
      <c r="AA55" s="1244"/>
      <c r="AB55" s="1244"/>
      <c r="AC55" s="1244"/>
      <c r="AD55" s="1244"/>
      <c r="AE55" s="1244"/>
      <c r="AF55" s="1244"/>
      <c r="AG55" s="1244"/>
      <c r="AH55" s="1244"/>
      <c r="AI55" s="1244"/>
      <c r="AJ55" s="1244"/>
      <c r="AK55" s="1244"/>
      <c r="AL55" s="1244"/>
      <c r="AM55" s="1244"/>
      <c r="AO55" s="702"/>
      <c r="AP55" s="702" t="str">
        <f t="shared" si="1"/>
        <v>Добавить централизованную систему для дифференциации</v>
      </c>
      <c r="AQ55" s="702"/>
      <c r="AR55" s="702"/>
    </row>
    <row r="56" spans="1:44" s="1559" customFormat="1" ht="0.75" customHeight="1">
      <c r="A56" s="1262" t="s">
        <v>173</v>
      </c>
      <c r="B56" s="1262"/>
      <c r="C56" s="1262"/>
      <c r="D56" s="1262"/>
      <c r="E56" s="2076"/>
      <c r="F56" s="1262"/>
      <c r="G56" s="1262"/>
      <c r="H56" s="1262"/>
      <c r="I56" s="1262"/>
      <c r="J56" s="1262"/>
      <c r="K56" s="1262"/>
      <c r="L56" s="1265"/>
      <c r="M56" s="1241"/>
      <c r="N56" s="1241"/>
      <c r="O56" s="444"/>
      <c r="P56" s="308"/>
      <c r="Q56" s="1263"/>
      <c r="R56" s="308"/>
      <c r="S56" s="1242"/>
      <c r="T56" s="1245" t="s">
        <v>435</v>
      </c>
      <c r="U56" s="1244"/>
      <c r="V56" s="1244"/>
      <c r="W56" s="1244"/>
      <c r="X56" s="1244"/>
      <c r="Y56" s="1244"/>
      <c r="Z56" s="1244"/>
      <c r="AA56" s="1244"/>
      <c r="AB56" s="1244"/>
      <c r="AC56" s="1244"/>
      <c r="AD56" s="1244"/>
      <c r="AE56" s="1244"/>
      <c r="AF56" s="1244"/>
      <c r="AG56" s="1244"/>
      <c r="AH56" s="1244"/>
      <c r="AI56" s="1244"/>
      <c r="AJ56" s="1244"/>
      <c r="AK56" s="1244"/>
      <c r="AL56" s="1244"/>
      <c r="AM56" s="1244"/>
      <c r="AO56" s="426"/>
      <c r="AP56" s="426" t="str">
        <f t="shared" si="1"/>
        <v>Добавить территорию для дифференциации</v>
      </c>
      <c r="AQ56" s="426"/>
      <c r="AR56" s="426"/>
    </row>
    <row r="57" spans="1:44" s="1559" customFormat="1" ht="0.75" customHeight="1">
      <c r="A57" s="1234"/>
      <c r="B57" s="1234"/>
      <c r="C57" s="1234"/>
      <c r="D57" s="1234"/>
      <c r="E57" s="1262"/>
      <c r="F57" s="1234"/>
      <c r="G57" s="1234"/>
      <c r="H57" s="1234"/>
      <c r="I57" s="1234"/>
      <c r="J57" s="1234"/>
      <c r="K57" s="1234"/>
      <c r="L57" s="1258"/>
      <c r="M57" s="1241"/>
      <c r="N57" s="1241"/>
      <c r="P57" s="1236"/>
      <c r="Q57" s="1237"/>
      <c r="R57" s="1236"/>
      <c r="S57" s="1242"/>
      <c r="T57" s="1245" t="s">
        <v>436</v>
      </c>
      <c r="U57" s="1244"/>
      <c r="V57" s="1244"/>
      <c r="W57" s="1244"/>
      <c r="X57" s="1244"/>
      <c r="Y57" s="1244"/>
      <c r="Z57" s="1244"/>
      <c r="AA57" s="1244"/>
      <c r="AB57" s="1244"/>
      <c r="AC57" s="1244"/>
      <c r="AD57" s="1244"/>
      <c r="AE57" s="1244"/>
      <c r="AF57" s="1244"/>
      <c r="AG57" s="1244"/>
      <c r="AH57" s="1244"/>
      <c r="AI57" s="1244"/>
      <c r="AJ57" s="1244"/>
      <c r="AK57" s="1244"/>
      <c r="AL57" s="1244"/>
      <c r="AM57" s="1244"/>
      <c r="AO57" s="702"/>
      <c r="AP57" s="702" t="str">
        <f t="shared" si="1"/>
        <v>Добавить наименование тарифа</v>
      </c>
      <c r="AQ57" s="702"/>
      <c r="AR57" s="702"/>
    </row>
    <row r="58" spans="1:44" ht="11.25" hidden="1" customHeight="1">
      <c r="M58" s="1062"/>
      <c r="N58" s="1062"/>
      <c r="O58" s="462"/>
      <c r="P58" s="1057"/>
      <c r="Q58" s="1057"/>
      <c r="R58" s="1057"/>
      <c r="S58" s="1057"/>
      <c r="AN58" s="1057"/>
      <c r="AO58" s="1057"/>
      <c r="AP58" s="1057"/>
      <c r="AQ58" s="1057"/>
      <c r="AR58" s="1057"/>
    </row>
    <row r="59" spans="1:44" ht="18.75" hidden="1" customHeight="1">
      <c r="O59" s="462"/>
      <c r="S59" s="1166" t="s">
        <v>508</v>
      </c>
      <c r="T59" s="2075" t="s">
        <v>517</v>
      </c>
      <c r="U59" s="2075"/>
      <c r="V59" s="2075"/>
      <c r="W59" s="2075"/>
      <c r="X59" s="2075"/>
      <c r="Y59" s="2075"/>
      <c r="Z59" s="2075"/>
      <c r="AA59" s="2075"/>
      <c r="AB59" s="2075"/>
      <c r="AC59" s="2075"/>
      <c r="AD59" s="2075"/>
      <c r="AE59" s="2075"/>
      <c r="AF59" s="2075"/>
      <c r="AG59" s="2075"/>
      <c r="AH59" s="2075"/>
      <c r="AI59" s="2075"/>
      <c r="AJ59" s="2075"/>
      <c r="AK59" s="2075"/>
      <c r="AL59" s="2075"/>
      <c r="AM59" s="2075"/>
    </row>
    <row r="60" spans="1:44" ht="27.75" hidden="1" customHeight="1">
      <c r="O60" s="462"/>
      <c r="T60" s="2075" t="s">
        <v>518</v>
      </c>
      <c r="U60" s="2075"/>
      <c r="V60" s="2075"/>
      <c r="W60" s="2075"/>
      <c r="X60" s="2075"/>
      <c r="Y60" s="2075"/>
      <c r="Z60" s="2075"/>
      <c r="AA60" s="2075"/>
      <c r="AB60" s="2075"/>
      <c r="AC60" s="2075"/>
      <c r="AD60" s="2075"/>
      <c r="AE60" s="2075"/>
      <c r="AF60" s="2075"/>
      <c r="AG60" s="2075"/>
      <c r="AH60" s="2075"/>
      <c r="AI60" s="2075"/>
      <c r="AJ60" s="2075"/>
      <c r="AK60" s="2075"/>
      <c r="AL60" s="2075"/>
      <c r="AM60" s="2075"/>
    </row>
    <row r="61" spans="1:44" ht="39.75" hidden="1" customHeight="1">
      <c r="O61" s="462"/>
      <c r="T61" s="2075" t="s">
        <v>519</v>
      </c>
      <c r="U61" s="2075"/>
      <c r="V61" s="2075"/>
      <c r="W61" s="2075"/>
      <c r="X61" s="2075"/>
      <c r="Y61" s="2075"/>
      <c r="Z61" s="2075"/>
      <c r="AA61" s="2075"/>
      <c r="AB61" s="2075"/>
      <c r="AC61" s="2075"/>
      <c r="AD61" s="2075"/>
      <c r="AE61" s="2075"/>
      <c r="AF61" s="2075"/>
      <c r="AG61" s="2075"/>
      <c r="AH61" s="2075"/>
      <c r="AI61" s="2075"/>
      <c r="AJ61" s="2075"/>
      <c r="AK61" s="2075"/>
      <c r="AL61" s="2075"/>
      <c r="AM61" s="2075"/>
    </row>
    <row r="62" spans="1:44" ht="14.25" hidden="1" customHeight="1">
      <c r="O62" s="462"/>
    </row>
    <row r="63" spans="1:44" ht="19.5" hidden="1" customHeight="1">
      <c r="O63" s="462"/>
      <c r="S63" s="1166" t="s">
        <v>508</v>
      </c>
      <c r="T63" s="1914" t="s">
        <v>511</v>
      </c>
      <c r="U63" s="2075"/>
      <c r="V63" s="2075"/>
      <c r="W63" s="2075"/>
      <c r="X63" s="2075"/>
      <c r="Y63" s="2075"/>
      <c r="Z63" s="2075"/>
      <c r="AA63" s="2075"/>
      <c r="AB63" s="2075"/>
      <c r="AC63" s="2075"/>
      <c r="AD63" s="2075"/>
      <c r="AE63" s="2075"/>
      <c r="AF63" s="2075"/>
      <c r="AG63" s="2075"/>
      <c r="AH63" s="2075"/>
      <c r="AI63" s="2075"/>
      <c r="AJ63" s="2075"/>
      <c r="AK63" s="2075"/>
      <c r="AL63" s="2075"/>
      <c r="AM63" s="2075"/>
    </row>
    <row r="64" spans="1:44" ht="27.75" hidden="1" customHeight="1">
      <c r="O64" s="462"/>
      <c r="T64" s="2075" t="s">
        <v>520</v>
      </c>
      <c r="U64" s="2075"/>
      <c r="V64" s="2075"/>
      <c r="W64" s="2075"/>
      <c r="X64" s="2075"/>
      <c r="Y64" s="2075"/>
      <c r="Z64" s="2075"/>
      <c r="AA64" s="2075"/>
      <c r="AB64" s="2075"/>
      <c r="AC64" s="2075"/>
      <c r="AD64" s="2075"/>
      <c r="AE64" s="2075"/>
      <c r="AF64" s="2075"/>
      <c r="AG64" s="2075"/>
      <c r="AH64" s="2075"/>
      <c r="AI64" s="2075"/>
      <c r="AJ64" s="2075"/>
      <c r="AK64" s="2075"/>
      <c r="AL64" s="2075"/>
      <c r="AM64" s="2075"/>
    </row>
    <row r="65" spans="20:39" ht="33.75" hidden="1" customHeight="1">
      <c r="T65" s="2075" t="s">
        <v>521</v>
      </c>
      <c r="U65" s="2075"/>
      <c r="V65" s="2075"/>
      <c r="W65" s="2075"/>
      <c r="X65" s="2075"/>
      <c r="Y65" s="2075"/>
      <c r="Z65" s="2075"/>
      <c r="AA65" s="2075"/>
      <c r="AB65" s="2075"/>
      <c r="AC65" s="2075"/>
      <c r="AD65" s="2075"/>
      <c r="AE65" s="2075"/>
      <c r="AF65" s="2075"/>
      <c r="AG65" s="2075"/>
      <c r="AH65" s="2075"/>
      <c r="AI65" s="2075"/>
      <c r="AJ65" s="2075"/>
      <c r="AK65" s="2075"/>
      <c r="AL65" s="2075"/>
      <c r="AM65" s="2075"/>
    </row>
  </sheetData>
  <sheetProtection formatColumns="0" formatRows="0" insertRows="0" deleteColumns="0" deleteRows="0" sort="0" autoFilter="0"/>
  <mergeCells count="113">
    <mergeCell ref="V47:AC47"/>
    <mergeCell ref="AD47:AL47"/>
    <mergeCell ref="AD31:AJ31"/>
    <mergeCell ref="AD32:AJ32"/>
    <mergeCell ref="AE40:AE41"/>
    <mergeCell ref="AF40:AG40"/>
    <mergeCell ref="AH40:AJ40"/>
    <mergeCell ref="AI41:AJ41"/>
    <mergeCell ref="AD37:AK37"/>
    <mergeCell ref="I47:I52"/>
    <mergeCell ref="V32:AB32"/>
    <mergeCell ref="E2:E15"/>
    <mergeCell ref="F3:F14"/>
    <mergeCell ref="G4:G13"/>
    <mergeCell ref="H5:H12"/>
    <mergeCell ref="I6:I11"/>
    <mergeCell ref="P6:P11"/>
    <mergeCell ref="J7:J10"/>
    <mergeCell ref="Q7:Q10"/>
    <mergeCell ref="K8:K9"/>
    <mergeCell ref="S31:T31"/>
    <mergeCell ref="V31:AB31"/>
    <mergeCell ref="S32:T32"/>
    <mergeCell ref="AA41:AB41"/>
    <mergeCell ref="V37:AC37"/>
    <mergeCell ref="S38:AL38"/>
    <mergeCell ref="S26:AJ26"/>
    <mergeCell ref="S27:AJ27"/>
    <mergeCell ref="AC49:AC50"/>
    <mergeCell ref="AA49:AA50"/>
    <mergeCell ref="AB49:AB50"/>
    <mergeCell ref="AH49:AH50"/>
    <mergeCell ref="AI49:AI50"/>
    <mergeCell ref="AM8:AM10"/>
    <mergeCell ref="AH17:AH18"/>
    <mergeCell ref="AI17:AI18"/>
    <mergeCell ref="AJ17:AJ18"/>
    <mergeCell ref="AK17:AK18"/>
    <mergeCell ref="Z8:Z9"/>
    <mergeCell ref="AA8:AA9"/>
    <mergeCell ref="S29:T29"/>
    <mergeCell ref="S30:T30"/>
    <mergeCell ref="V29:AB29"/>
    <mergeCell ref="AD29:AJ29"/>
    <mergeCell ref="V30:AB30"/>
    <mergeCell ref="AD30:AJ30"/>
    <mergeCell ref="AH8:AH9"/>
    <mergeCell ref="AI8:AI9"/>
    <mergeCell ref="AJ8:AJ9"/>
    <mergeCell ref="AK8:AK9"/>
    <mergeCell ref="AB8:AB9"/>
    <mergeCell ref="AC8:AC9"/>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M49:AM51"/>
    <mergeCell ref="T59:AM59"/>
    <mergeCell ref="T60:AM60"/>
    <mergeCell ref="AA42:AB42"/>
    <mergeCell ref="AI42:AJ42"/>
    <mergeCell ref="E43:E56"/>
    <mergeCell ref="V43:AC43"/>
    <mergeCell ref="AD43:AL43"/>
    <mergeCell ref="F44:F55"/>
    <mergeCell ref="V44:AC44"/>
    <mergeCell ref="AD44:AL44"/>
    <mergeCell ref="G45:G54"/>
    <mergeCell ref="V45:AC45"/>
    <mergeCell ref="AD45:AL45"/>
    <mergeCell ref="H46:H53"/>
    <mergeCell ref="V46:AC46"/>
    <mergeCell ref="AD46:AL46"/>
    <mergeCell ref="P47:P52"/>
    <mergeCell ref="J48:J51"/>
    <mergeCell ref="Q48:Q51"/>
    <mergeCell ref="V48:AC48"/>
    <mergeCell ref="AD48:AL48"/>
    <mergeCell ref="K49:K50"/>
    <mergeCell ref="Z49:Z50"/>
    <mergeCell ref="T64:AM64"/>
    <mergeCell ref="T65:AM65"/>
    <mergeCell ref="S35:T35"/>
    <mergeCell ref="V35:AB35"/>
    <mergeCell ref="AD35:AJ35"/>
    <mergeCell ref="S34:T34"/>
    <mergeCell ref="V34:AB34"/>
    <mergeCell ref="AD34:AJ34"/>
    <mergeCell ref="V2:AC2"/>
    <mergeCell ref="AD2:AL2"/>
    <mergeCell ref="V3:AC3"/>
    <mergeCell ref="AD3:AL3"/>
    <mergeCell ref="V4:AC4"/>
    <mergeCell ref="AD4:AL4"/>
    <mergeCell ref="V5:AC5"/>
    <mergeCell ref="AD5:AL5"/>
    <mergeCell ref="V6:AC6"/>
    <mergeCell ref="AD6:AL6"/>
    <mergeCell ref="V7:AC7"/>
    <mergeCell ref="AD7:AL7"/>
    <mergeCell ref="T63:AM63"/>
    <mergeCell ref="T61:AM61"/>
    <mergeCell ref="AJ49:AJ50"/>
    <mergeCell ref="AK49:AK50"/>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93265 AK49 AK524337 AK8 AK589873 AK655409 AK17 AK720945 AK786481 AK852017 AK917553 AK983089 AK65585 AK131121 AK458801 AI49 AK196657 AI8 AC8 AA8 AI17 AK262193 AA49 AC49 AK327729"/>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AR65"/>
  <sheetViews>
    <sheetView showGridLines="0" topLeftCell="Q25" zoomScale="90" workbookViewId="0"/>
  </sheetViews>
  <sheetFormatPr defaultColWidth="10.5703125" defaultRowHeight="14.25" customHeight="1"/>
  <cols>
    <col min="1" max="1" width="10.5703125" style="1284" hidden="1"/>
    <col min="2" max="2" width="11" style="1284" hidden="1" customWidth="1"/>
    <col min="3" max="3" width="10.5703125" style="1284" hidden="1"/>
    <col min="4" max="4" width="11.85546875" style="1284" hidden="1" customWidth="1"/>
    <col min="5" max="5" width="10" style="1284" hidden="1" customWidth="1"/>
    <col min="6" max="6" width="8.7109375" style="1284" hidden="1" customWidth="1"/>
    <col min="7" max="7" width="7.5703125" style="1284" hidden="1" customWidth="1"/>
    <col min="8" max="8" width="11.42578125" style="1284" hidden="1" customWidth="1"/>
    <col min="9" max="9" width="12" style="1284" hidden="1" customWidth="1"/>
    <col min="10" max="10" width="9.85546875" style="1284" hidden="1" customWidth="1"/>
    <col min="11" max="11" width="11.42578125" style="1284" hidden="1" customWidth="1"/>
    <col min="12" max="12" width="19.140625" style="1799" hidden="1" customWidth="1"/>
    <col min="13" max="14" width="12.28515625" style="1696" hidden="1" customWidth="1"/>
    <col min="15" max="15" width="23.42578125" style="1696" hidden="1" customWidth="1"/>
    <col min="16" max="16" width="3.7109375" style="1803" hidden="1" customWidth="1"/>
    <col min="17" max="18" width="3.7109375" style="265" customWidth="1"/>
    <col min="19" max="19" width="12.7109375" style="1806" customWidth="1"/>
    <col min="20" max="20" width="32" style="1552" customWidth="1"/>
    <col min="21" max="21" width="0.140625" style="1552" customWidth="1"/>
    <col min="22" max="22" width="24.7109375" style="1552" hidden="1" customWidth="1"/>
    <col min="23" max="23" width="0.140625" style="1552" hidden="1" customWidth="1"/>
    <col min="24" max="25" width="24.7109375" style="1552" hidden="1" customWidth="1"/>
    <col min="26" max="26" width="11.7109375" style="1552" hidden="1" customWidth="1"/>
    <col min="27" max="27" width="3.7109375" style="1552" hidden="1" customWidth="1"/>
    <col min="28" max="28" width="11.7109375" style="1552" hidden="1" customWidth="1"/>
    <col min="29" max="29" width="8.5703125" style="1552" hidden="1" customWidth="1"/>
    <col min="30" max="30" width="24.7109375" style="1552" customWidth="1"/>
    <col min="31" max="31" width="0.140625" style="1552" customWidth="1"/>
    <col min="32" max="33" width="24.7109375" style="1552" customWidth="1"/>
    <col min="34" max="34" width="11.7109375" style="1552" customWidth="1"/>
    <col min="35" max="35" width="3.7109375" style="1552" customWidth="1"/>
    <col min="36" max="36" width="11.7109375" style="1552" customWidth="1"/>
    <col min="37" max="37" width="8.5703125" style="1552" hidden="1" customWidth="1"/>
    <col min="38" max="38" width="4.7109375" style="1552" customWidth="1"/>
    <col min="39" max="39" width="115.7109375" style="1552" customWidth="1"/>
    <col min="40" max="41" width="10.5703125" style="1559"/>
    <col min="42" max="42" width="11.140625" style="1559" customWidth="1"/>
    <col min="43" max="44" width="10.5703125" style="1559"/>
  </cols>
  <sheetData>
    <row r="1" spans="1:44" ht="14.25" hidden="1" customHeight="1">
      <c r="Y1" s="249"/>
      <c r="Z1" s="249"/>
      <c r="AG1" s="249"/>
      <c r="AH1" s="249"/>
    </row>
    <row r="2" spans="1:44" ht="21" hidden="1" customHeight="1">
      <c r="A2" s="1281"/>
      <c r="B2" s="1281"/>
      <c r="C2" s="1281"/>
      <c r="D2" s="1281"/>
      <c r="E2" s="2076">
        <v>1</v>
      </c>
      <c r="F2" s="1281"/>
      <c r="G2" s="1281"/>
      <c r="H2" s="1281"/>
      <c r="I2" s="1281"/>
      <c r="J2" s="1281"/>
      <c r="K2" s="1281"/>
      <c r="L2" s="1282"/>
      <c r="M2" s="1283"/>
      <c r="N2" s="1283"/>
      <c r="O2" s="1283"/>
      <c r="P2" s="282"/>
      <c r="Q2" s="281"/>
      <c r="R2" s="276"/>
      <c r="S2" s="1255" t="e">
        <f>INDEX(PT_DIFFERENTIATION_NUM_NTAR,MATCH(A2,PT_DIFFERENTIATION_NTAR_ID,0))</f>
        <v>#N/A</v>
      </c>
      <c r="T2" s="212" t="s">
        <v>128</v>
      </c>
      <c r="U2" s="214"/>
      <c r="V2" s="2070"/>
      <c r="W2" s="2071"/>
      <c r="X2" s="2071"/>
      <c r="Y2" s="2071"/>
      <c r="Z2" s="2071"/>
      <c r="AA2" s="2071"/>
      <c r="AB2" s="2071"/>
      <c r="AC2" s="2072"/>
      <c r="AD2" s="2070" t="e">
        <f>INDEX(PT_DIFFERENTIATION_NTAR,MATCH(A2,PT_DIFFERENTIATION_NTAR_ID,0))</f>
        <v>#N/A</v>
      </c>
      <c r="AE2" s="2071"/>
      <c r="AF2" s="2071"/>
      <c r="AG2" s="2071"/>
      <c r="AH2" s="2071"/>
      <c r="AI2" s="2071"/>
      <c r="AJ2" s="2071"/>
      <c r="AK2" s="2071"/>
      <c r="AL2" s="2072"/>
      <c r="AM2" s="1179" t="s">
        <v>459</v>
      </c>
      <c r="AO2" s="426"/>
      <c r="AP2" s="426" t="str">
        <f t="shared" ref="AP2:AP15" si="0">IF(T2="","",T2)</f>
        <v>Наименование тарифа</v>
      </c>
      <c r="AQ2" s="426"/>
      <c r="AR2" s="426"/>
    </row>
    <row r="3" spans="1:44" ht="21" hidden="1" customHeight="1">
      <c r="A3" s="1281"/>
      <c r="B3" s="1281"/>
      <c r="C3" s="1281"/>
      <c r="D3" s="1281"/>
      <c r="E3" s="2077"/>
      <c r="F3" s="2076">
        <v>1</v>
      </c>
      <c r="G3" s="1281"/>
      <c r="H3" s="1281"/>
      <c r="I3" s="1281"/>
      <c r="J3" s="1281"/>
      <c r="K3" s="1281"/>
      <c r="L3" s="1282"/>
      <c r="M3" s="1283"/>
      <c r="N3" s="1283"/>
      <c r="O3" s="1283"/>
      <c r="P3" s="1251"/>
      <c r="Q3" s="273"/>
      <c r="R3" s="274"/>
      <c r="S3" s="1255" t="e">
        <f>INDEX(PT_DIFFERENTIATION_NUM_TER,MATCH(B3,PT_DIFFERENTIATION_TER_ID,0))</f>
        <v>#N/A</v>
      </c>
      <c r="T3" s="224" t="s">
        <v>460</v>
      </c>
      <c r="U3" s="214"/>
      <c r="V3" s="2070"/>
      <c r="W3" s="2071"/>
      <c r="X3" s="2071"/>
      <c r="Y3" s="2071"/>
      <c r="Z3" s="2071"/>
      <c r="AA3" s="2071"/>
      <c r="AB3" s="2071"/>
      <c r="AC3" s="2072"/>
      <c r="AD3" s="2070" t="e">
        <f>INDEX(PT_DIFFERENTIATION_TER,MATCH(B3,PT_DIFFERENTIATION_TER_ID,0))</f>
        <v>#N/A</v>
      </c>
      <c r="AE3" s="2071"/>
      <c r="AF3" s="2071"/>
      <c r="AG3" s="2071"/>
      <c r="AH3" s="2071"/>
      <c r="AI3" s="2071"/>
      <c r="AJ3" s="2071"/>
      <c r="AK3" s="2071"/>
      <c r="AL3" s="2072"/>
      <c r="AM3" s="1179" t="s">
        <v>461</v>
      </c>
      <c r="AO3" s="426"/>
      <c r="AP3" s="426" t="str">
        <f t="shared" si="0"/>
        <v>Территория действия тарифа</v>
      </c>
      <c r="AQ3" s="426"/>
      <c r="AR3" s="426"/>
    </row>
    <row r="4" spans="1:44" ht="23.25" hidden="1" customHeight="1">
      <c r="A4" s="1281"/>
      <c r="B4" s="1281"/>
      <c r="C4" s="1281"/>
      <c r="D4" s="1281"/>
      <c r="E4" s="2077"/>
      <c r="F4" s="2077"/>
      <c r="G4" s="2076">
        <v>1</v>
      </c>
      <c r="H4" s="1281"/>
      <c r="I4" s="1281"/>
      <c r="J4" s="1281"/>
      <c r="K4" s="1281"/>
      <c r="L4" s="1282"/>
      <c r="M4" s="1283"/>
      <c r="N4" s="1283"/>
      <c r="O4" s="1283"/>
      <c r="P4" s="275"/>
      <c r="Q4" s="273"/>
      <c r="R4" s="274"/>
      <c r="S4" s="1255" t="e">
        <f>INDEX(PT_DIFFERENTIATION_NUM_CS,MATCH(C4,PT_DIFFERENTIATION_CS_ID,0))</f>
        <v>#N/A</v>
      </c>
      <c r="T4" s="225" t="s">
        <v>462</v>
      </c>
      <c r="U4" s="214"/>
      <c r="V4" s="2070"/>
      <c r="W4" s="2071"/>
      <c r="X4" s="2071"/>
      <c r="Y4" s="2071"/>
      <c r="Z4" s="2071"/>
      <c r="AA4" s="2071"/>
      <c r="AB4" s="2071"/>
      <c r="AC4" s="2072"/>
      <c r="AD4" s="2070" t="e">
        <f>INDEX(PT_DIFFERENTIATION_CS,MATCH(C4,PT_DIFFERENTIATION_CS_ID,0))</f>
        <v>#N/A</v>
      </c>
      <c r="AE4" s="2071"/>
      <c r="AF4" s="2071"/>
      <c r="AG4" s="2071"/>
      <c r="AH4" s="2071"/>
      <c r="AI4" s="2071"/>
      <c r="AJ4" s="2071"/>
      <c r="AK4" s="2071"/>
      <c r="AL4" s="2072"/>
      <c r="AM4" s="1179" t="s">
        <v>463</v>
      </c>
      <c r="AO4" s="426"/>
      <c r="AP4" s="426" t="str">
        <f t="shared" si="0"/>
        <v xml:space="preserve">Наименование системы теплоснабжения </v>
      </c>
      <c r="AQ4" s="426"/>
      <c r="AR4" s="426"/>
    </row>
    <row r="5" spans="1:44" ht="21" hidden="1" customHeight="1">
      <c r="A5" s="1281"/>
      <c r="B5" s="1281"/>
      <c r="C5" s="1281"/>
      <c r="D5" s="1281"/>
      <c r="E5" s="2077"/>
      <c r="F5" s="2077"/>
      <c r="G5" s="2077"/>
      <c r="H5" s="2076">
        <v>1</v>
      </c>
      <c r="I5" s="1281"/>
      <c r="J5" s="1281"/>
      <c r="K5" s="1281"/>
      <c r="L5" s="1282"/>
      <c r="M5" s="1283"/>
      <c r="N5" s="1283"/>
      <c r="O5" s="1283"/>
      <c r="P5" s="275"/>
      <c r="Q5" s="273"/>
      <c r="R5" s="274"/>
      <c r="S5" s="1255" t="e">
        <f>INDEX(PT_DIFFERENTIATION_NUM_IST_TE,MATCH(D5,PT_DIFFERENTIATION_IST_TE_ID,0))</f>
        <v>#N/A</v>
      </c>
      <c r="T5" s="226" t="s">
        <v>464</v>
      </c>
      <c r="U5" s="214"/>
      <c r="V5" s="2070"/>
      <c r="W5" s="2071"/>
      <c r="X5" s="2071"/>
      <c r="Y5" s="2071"/>
      <c r="Z5" s="2071"/>
      <c r="AA5" s="2071"/>
      <c r="AB5" s="2071"/>
      <c r="AC5" s="2072"/>
      <c r="AD5" s="2070" t="e">
        <f>INDEX(PT_DIFFERENTIATION_IST_TE,MATCH(D5,PT_DIFFERENTIATION_IST_TE_ID,0))</f>
        <v>#N/A</v>
      </c>
      <c r="AE5" s="2071"/>
      <c r="AF5" s="2071"/>
      <c r="AG5" s="2071"/>
      <c r="AH5" s="2071"/>
      <c r="AI5" s="2071"/>
      <c r="AJ5" s="2071"/>
      <c r="AK5" s="2071"/>
      <c r="AL5" s="2072"/>
      <c r="AM5" s="1179" t="s">
        <v>465</v>
      </c>
      <c r="AO5" s="426"/>
      <c r="AP5" s="426" t="str">
        <f t="shared" si="0"/>
        <v xml:space="preserve">Источник тепловой энергии  </v>
      </c>
      <c r="AQ5" s="426"/>
      <c r="AR5" s="426"/>
    </row>
    <row r="6" spans="1:44" ht="14.25" hidden="1" customHeight="1">
      <c r="A6" s="1281"/>
      <c r="B6" s="1281"/>
      <c r="C6" s="1281"/>
      <c r="D6" s="1281"/>
      <c r="E6" s="2077"/>
      <c r="F6" s="2077"/>
      <c r="G6" s="2077"/>
      <c r="H6" s="2077"/>
      <c r="I6" s="2078" t="e">
        <f>S5&amp;".1"</f>
        <v>#N/A</v>
      </c>
      <c r="J6" s="1281"/>
      <c r="K6" s="1281"/>
      <c r="L6" s="1282" t="s">
        <v>466</v>
      </c>
      <c r="M6" s="462"/>
      <c r="P6" s="1995">
        <v>1</v>
      </c>
      <c r="Q6" s="1250"/>
      <c r="R6" s="277"/>
      <c r="S6" s="950"/>
      <c r="T6" s="1301"/>
      <c r="U6" s="1302"/>
      <c r="V6" s="2105"/>
      <c r="W6" s="2106"/>
      <c r="X6" s="2106"/>
      <c r="Y6" s="2106"/>
      <c r="Z6" s="2106"/>
      <c r="AA6" s="2106"/>
      <c r="AB6" s="2106"/>
      <c r="AC6" s="2107"/>
      <c r="AD6" s="2105"/>
      <c r="AE6" s="2106"/>
      <c r="AF6" s="2106"/>
      <c r="AG6" s="2106"/>
      <c r="AH6" s="2106"/>
      <c r="AI6" s="2106"/>
      <c r="AJ6" s="2106"/>
      <c r="AK6" s="2106"/>
      <c r="AL6" s="2107"/>
      <c r="AM6" s="1303"/>
      <c r="AO6" s="426"/>
      <c r="AP6" s="426" t="str">
        <f t="shared" si="0"/>
        <v/>
      </c>
      <c r="AQ6" s="426"/>
      <c r="AR6" s="426"/>
    </row>
    <row r="7" spans="1:44" ht="21" hidden="1" customHeight="1">
      <c r="A7" s="1281"/>
      <c r="B7" s="1281"/>
      <c r="C7" s="1281"/>
      <c r="D7" s="1281"/>
      <c r="E7" s="2077"/>
      <c r="F7" s="2077"/>
      <c r="G7" s="2077"/>
      <c r="H7" s="2077"/>
      <c r="I7" s="2079"/>
      <c r="J7" s="2078" t="e">
        <f>I6&amp;".1"</f>
        <v>#N/A</v>
      </c>
      <c r="K7" s="1281"/>
      <c r="L7" s="1282" t="s">
        <v>469</v>
      </c>
      <c r="M7" s="462"/>
      <c r="N7" s="1284"/>
      <c r="P7" s="1995"/>
      <c r="Q7" s="1995">
        <v>1</v>
      </c>
      <c r="R7" s="278"/>
      <c r="S7" s="1255" t="e">
        <f>$J7</f>
        <v>#N/A</v>
      </c>
      <c r="T7" s="201" t="s">
        <v>470</v>
      </c>
      <c r="U7" s="214"/>
      <c r="V7" s="2064"/>
      <c r="W7" s="2065"/>
      <c r="X7" s="2065"/>
      <c r="Y7" s="2065"/>
      <c r="Z7" s="2065"/>
      <c r="AA7" s="2065"/>
      <c r="AB7" s="2065"/>
      <c r="AC7" s="2066"/>
      <c r="AD7" s="2064"/>
      <c r="AE7" s="2065"/>
      <c r="AF7" s="2065"/>
      <c r="AG7" s="2065"/>
      <c r="AH7" s="2065"/>
      <c r="AI7" s="2065"/>
      <c r="AJ7" s="2065"/>
      <c r="AK7" s="2065"/>
      <c r="AL7" s="2066"/>
      <c r="AM7" s="1179" t="s">
        <v>471</v>
      </c>
      <c r="AO7" s="426"/>
      <c r="AP7" s="426" t="str">
        <f t="shared" si="0"/>
        <v>Группа потребителей</v>
      </c>
      <c r="AQ7" s="426"/>
      <c r="AR7" s="426"/>
    </row>
    <row r="8" spans="1:44" ht="21" hidden="1" customHeight="1">
      <c r="A8" s="1281"/>
      <c r="B8" s="1281"/>
      <c r="C8" s="1281"/>
      <c r="D8" s="1281"/>
      <c r="E8" s="2077"/>
      <c r="F8" s="2077"/>
      <c r="G8" s="2077"/>
      <c r="H8" s="2077"/>
      <c r="I8" s="2079"/>
      <c r="J8" s="2079"/>
      <c r="K8" s="2078" t="e">
        <f>J7&amp;".1"</f>
        <v>#N/A</v>
      </c>
      <c r="L8" s="1282" t="s">
        <v>472</v>
      </c>
      <c r="M8" s="462"/>
      <c r="N8" s="1284"/>
      <c r="O8" s="1284"/>
      <c r="P8" s="1995"/>
      <c r="Q8" s="1995"/>
      <c r="R8" s="278">
        <v>1</v>
      </c>
      <c r="S8" s="1255" t="e">
        <f>$K8</f>
        <v>#N/A</v>
      </c>
      <c r="T8" s="1266"/>
      <c r="U8" s="214"/>
      <c r="V8" s="664"/>
      <c r="W8" s="246"/>
      <c r="X8" s="664"/>
      <c r="Y8" s="1178"/>
      <c r="Z8" s="2080"/>
      <c r="AA8" s="1885" t="s">
        <v>59</v>
      </c>
      <c r="AB8" s="2080"/>
      <c r="AC8" s="1885" t="s">
        <v>59</v>
      </c>
      <c r="AD8" s="664"/>
      <c r="AE8" s="246"/>
      <c r="AF8" s="664"/>
      <c r="AG8" s="1178"/>
      <c r="AH8" s="2080"/>
      <c r="AI8" s="1885" t="s">
        <v>59</v>
      </c>
      <c r="AJ8" s="2080"/>
      <c r="AK8" s="1885" t="s">
        <v>59</v>
      </c>
      <c r="AL8" s="246"/>
      <c r="AM8" s="2098" t="s">
        <v>473</v>
      </c>
      <c r="AN8" s="437" t="e">
        <f ca="1">STRCHECKDATE(V9:AL9)</f>
        <v>#NAME?</v>
      </c>
      <c r="AO8" s="426"/>
      <c r="AP8" s="426" t="str">
        <f t="shared" si="0"/>
        <v/>
      </c>
      <c r="AQ8" s="426"/>
      <c r="AR8" s="426"/>
    </row>
    <row r="9" spans="1:44" ht="14.25" hidden="1" customHeight="1">
      <c r="A9" s="1281"/>
      <c r="B9" s="1281"/>
      <c r="C9" s="1281"/>
      <c r="D9" s="1281"/>
      <c r="E9" s="2077"/>
      <c r="F9" s="2077"/>
      <c r="G9" s="2077"/>
      <c r="H9" s="2077"/>
      <c r="I9" s="2079"/>
      <c r="J9" s="2079"/>
      <c r="K9" s="2078"/>
      <c r="L9" s="1282"/>
      <c r="M9" s="462"/>
      <c r="N9" s="1284"/>
      <c r="O9" s="1284"/>
      <c r="P9" s="1995"/>
      <c r="Q9" s="1995"/>
      <c r="R9" s="278"/>
      <c r="S9" s="1261"/>
      <c r="T9" s="214"/>
      <c r="U9" s="214"/>
      <c r="V9" s="246"/>
      <c r="W9" s="246"/>
      <c r="X9" s="246"/>
      <c r="Y9" s="250" t="str">
        <f>Z8&amp;"-"&amp;AB8</f>
        <v>-</v>
      </c>
      <c r="Z9" s="2081"/>
      <c r="AA9" s="1885"/>
      <c r="AB9" s="2081"/>
      <c r="AC9" s="1885"/>
      <c r="AD9" s="246"/>
      <c r="AE9" s="246"/>
      <c r="AF9" s="246"/>
      <c r="AG9" s="250" t="str">
        <f>AH8&amp;"-"&amp;AJ8</f>
        <v>-</v>
      </c>
      <c r="AH9" s="2081"/>
      <c r="AI9" s="1885"/>
      <c r="AJ9" s="2081"/>
      <c r="AK9" s="1885"/>
      <c r="AL9" s="246"/>
      <c r="AM9" s="2099"/>
      <c r="AO9" s="426"/>
      <c r="AP9" s="426" t="str">
        <f t="shared" si="0"/>
        <v/>
      </c>
      <c r="AQ9" s="426"/>
      <c r="AR9" s="426"/>
    </row>
    <row r="10" spans="1:44" ht="15" hidden="1" customHeight="1">
      <c r="A10" s="1281"/>
      <c r="B10" s="1281"/>
      <c r="C10" s="1281"/>
      <c r="D10" s="1281"/>
      <c r="E10" s="2077"/>
      <c r="F10" s="2077"/>
      <c r="G10" s="2077"/>
      <c r="H10" s="2077"/>
      <c r="I10" s="2079"/>
      <c r="J10" s="2078"/>
      <c r="K10" s="1281"/>
      <c r="L10" s="1282"/>
      <c r="M10" s="462"/>
      <c r="N10" s="1284"/>
      <c r="P10" s="1995"/>
      <c r="Q10" s="1995"/>
      <c r="R10" s="277"/>
      <c r="S10" s="1200"/>
      <c r="T10" s="202" t="s">
        <v>474</v>
      </c>
      <c r="U10" s="291"/>
      <c r="V10" s="291"/>
      <c r="W10" s="291"/>
      <c r="X10" s="291"/>
      <c r="Y10" s="291"/>
      <c r="Z10" s="291"/>
      <c r="AA10" s="291"/>
      <c r="AB10" s="291"/>
      <c r="AC10" s="291"/>
      <c r="AD10" s="291"/>
      <c r="AE10" s="291"/>
      <c r="AF10" s="291"/>
      <c r="AG10" s="291"/>
      <c r="AH10" s="291"/>
      <c r="AI10" s="291"/>
      <c r="AJ10" s="291"/>
      <c r="AK10" s="291"/>
      <c r="AL10" s="245"/>
      <c r="AM10" s="2100"/>
      <c r="AO10" s="426"/>
      <c r="AP10" s="426" t="str">
        <f t="shared" si="0"/>
        <v>Добавить вид теплоносителя (параметры теплоносителя)</v>
      </c>
      <c r="AQ10" s="426"/>
      <c r="AR10" s="426"/>
    </row>
    <row r="11" spans="1:44" ht="11.25" hidden="1" customHeight="1">
      <c r="A11" s="1281"/>
      <c r="B11" s="1281"/>
      <c r="C11" s="1281"/>
      <c r="D11" s="1281"/>
      <c r="E11" s="2077"/>
      <c r="F11" s="2077"/>
      <c r="G11" s="2077"/>
      <c r="H11" s="2077"/>
      <c r="I11" s="2078"/>
      <c r="J11" s="1281"/>
      <c r="K11" s="1281"/>
      <c r="L11" s="1282"/>
      <c r="M11" s="462"/>
      <c r="P11" s="1995"/>
      <c r="Q11" s="1250"/>
      <c r="R11" s="277"/>
      <c r="S11" s="1200"/>
      <c r="T11" s="288" t="s">
        <v>475</v>
      </c>
      <c r="U11" s="291"/>
      <c r="V11" s="291"/>
      <c r="W11" s="291"/>
      <c r="X11" s="291"/>
      <c r="Y11" s="291"/>
      <c r="Z11" s="291"/>
      <c r="AA11" s="291"/>
      <c r="AB11" s="291"/>
      <c r="AC11" s="290"/>
      <c r="AD11" s="291"/>
      <c r="AE11" s="291"/>
      <c r="AF11" s="291"/>
      <c r="AG11" s="291"/>
      <c r="AH11" s="291"/>
      <c r="AI11" s="291"/>
      <c r="AJ11" s="291"/>
      <c r="AK11" s="290"/>
      <c r="AL11" s="291"/>
      <c r="AM11" s="217"/>
      <c r="AO11" s="426"/>
      <c r="AP11" s="426" t="str">
        <f t="shared" si="0"/>
        <v>Добавить группу потребителей</v>
      </c>
      <c r="AQ11" s="426"/>
      <c r="AR11" s="426"/>
    </row>
    <row r="12" spans="1:44" ht="14.25" hidden="1" customHeight="1">
      <c r="A12" s="1281"/>
      <c r="B12" s="1281"/>
      <c r="C12" s="1281"/>
      <c r="D12" s="1281"/>
      <c r="E12" s="2077"/>
      <c r="F12" s="2077"/>
      <c r="G12" s="2077"/>
      <c r="H12" s="2076"/>
      <c r="I12" s="1281"/>
      <c r="J12" s="1281"/>
      <c r="K12" s="1281"/>
      <c r="L12" s="1282"/>
      <c r="M12" s="1283"/>
      <c r="N12" s="1283"/>
      <c r="O12" s="462"/>
      <c r="P12" s="281"/>
      <c r="Q12" s="299"/>
      <c r="R12" s="276"/>
      <c r="S12" s="1304"/>
      <c r="T12" s="1305"/>
      <c r="U12" s="1306"/>
      <c r="V12" s="1306"/>
      <c r="W12" s="1306"/>
      <c r="X12" s="1306"/>
      <c r="Y12" s="1306"/>
      <c r="Z12" s="1306"/>
      <c r="AA12" s="1306"/>
      <c r="AB12" s="1306"/>
      <c r="AC12" s="1306"/>
      <c r="AD12" s="1306"/>
      <c r="AE12" s="1306"/>
      <c r="AF12" s="1306"/>
      <c r="AG12" s="1306"/>
      <c r="AH12" s="1306"/>
      <c r="AI12" s="1306"/>
      <c r="AJ12" s="1306"/>
      <c r="AK12" s="1306"/>
      <c r="AL12" s="1306"/>
      <c r="AM12" s="1307"/>
      <c r="AO12" s="426"/>
      <c r="AP12" s="426" t="str">
        <f t="shared" si="0"/>
        <v/>
      </c>
      <c r="AQ12" s="426"/>
      <c r="AR12" s="426"/>
    </row>
    <row r="13" spans="1:44" s="1559" customFormat="1" ht="14.25" hidden="1" customHeight="1">
      <c r="A13" s="1234"/>
      <c r="B13" s="1234"/>
      <c r="C13" s="1234"/>
      <c r="D13" s="1234"/>
      <c r="E13" s="2077"/>
      <c r="F13" s="2077"/>
      <c r="G13" s="2076"/>
      <c r="H13" s="1234"/>
      <c r="I13" s="1234"/>
      <c r="J13" s="1234"/>
      <c r="K13" s="1234"/>
      <c r="L13" s="1258"/>
      <c r="M13" s="1235"/>
      <c r="N13" s="1235"/>
      <c r="P13" s="1236"/>
      <c r="Q13" s="1237"/>
      <c r="R13" s="1236"/>
      <c r="S13" s="1238"/>
      <c r="T13" s="1239" t="s">
        <v>433</v>
      </c>
      <c r="U13" s="1240"/>
      <c r="V13" s="1240"/>
      <c r="W13" s="1240"/>
      <c r="X13" s="1240"/>
      <c r="Y13" s="1240"/>
      <c r="Z13" s="1240"/>
      <c r="AA13" s="1240"/>
      <c r="AB13" s="1240"/>
      <c r="AC13" s="1240"/>
      <c r="AD13" s="1240"/>
      <c r="AE13" s="1240"/>
      <c r="AF13" s="1240"/>
      <c r="AG13" s="1240"/>
      <c r="AH13" s="1240"/>
      <c r="AI13" s="1240"/>
      <c r="AJ13" s="1240"/>
      <c r="AK13" s="1240"/>
      <c r="AL13" s="1240"/>
      <c r="AM13" s="1240"/>
      <c r="AO13" s="702"/>
      <c r="AP13" s="702" t="str">
        <f t="shared" si="0"/>
        <v>Добавить источник для дифференциации</v>
      </c>
      <c r="AQ13" s="702"/>
      <c r="AR13" s="702"/>
    </row>
    <row r="14" spans="1:44" s="1559" customFormat="1" ht="14.25" hidden="1" customHeight="1">
      <c r="A14" s="1234"/>
      <c r="B14" s="1234"/>
      <c r="C14" s="1234"/>
      <c r="D14" s="1234"/>
      <c r="E14" s="2077"/>
      <c r="F14" s="2076"/>
      <c r="G14" s="1234"/>
      <c r="H14" s="1234"/>
      <c r="I14" s="1234"/>
      <c r="J14" s="1234"/>
      <c r="K14" s="1234"/>
      <c r="L14" s="1258"/>
      <c r="M14" s="1241"/>
      <c r="N14" s="1241"/>
      <c r="P14" s="1236"/>
      <c r="Q14" s="1237"/>
      <c r="R14" s="1236"/>
      <c r="S14" s="1242"/>
      <c r="T14" s="1243" t="s">
        <v>434</v>
      </c>
      <c r="U14" s="1244"/>
      <c r="V14" s="1244"/>
      <c r="W14" s="1244"/>
      <c r="X14" s="1244"/>
      <c r="Y14" s="1244"/>
      <c r="Z14" s="1244"/>
      <c r="AA14" s="1244"/>
      <c r="AB14" s="1244"/>
      <c r="AC14" s="1244"/>
      <c r="AD14" s="1244"/>
      <c r="AE14" s="1244"/>
      <c r="AF14" s="1244"/>
      <c r="AG14" s="1244"/>
      <c r="AH14" s="1244"/>
      <c r="AI14" s="1244"/>
      <c r="AJ14" s="1244"/>
      <c r="AK14" s="1244"/>
      <c r="AL14" s="1244"/>
      <c r="AM14" s="1244"/>
      <c r="AO14" s="702"/>
      <c r="AP14" s="702" t="str">
        <f t="shared" si="0"/>
        <v>Добавить централизованную систему для дифференциации</v>
      </c>
      <c r="AQ14" s="702"/>
      <c r="AR14" s="702"/>
    </row>
    <row r="15" spans="1:44" s="1559" customFormat="1" ht="14.25" hidden="1" customHeight="1">
      <c r="A15" s="1234"/>
      <c r="B15" s="1234"/>
      <c r="C15" s="1234"/>
      <c r="D15" s="1234"/>
      <c r="E15" s="2076"/>
      <c r="F15" s="1234"/>
      <c r="G15" s="1234"/>
      <c r="H15" s="1234"/>
      <c r="I15" s="1234"/>
      <c r="J15" s="1234"/>
      <c r="K15" s="1234"/>
      <c r="L15" s="1258"/>
      <c r="M15" s="1241"/>
      <c r="N15" s="1241"/>
      <c r="P15" s="1236"/>
      <c r="Q15" s="1237"/>
      <c r="R15" s="1236"/>
      <c r="S15" s="1242"/>
      <c r="T15" s="1245" t="s">
        <v>435</v>
      </c>
      <c r="U15" s="1244"/>
      <c r="V15" s="1244"/>
      <c r="W15" s="1244"/>
      <c r="X15" s="1244"/>
      <c r="Y15" s="1244"/>
      <c r="Z15" s="1244"/>
      <c r="AA15" s="1244"/>
      <c r="AB15" s="1244"/>
      <c r="AC15" s="1244"/>
      <c r="AD15" s="1244"/>
      <c r="AE15" s="1244"/>
      <c r="AF15" s="1244"/>
      <c r="AG15" s="1244"/>
      <c r="AH15" s="1244"/>
      <c r="AI15" s="1244"/>
      <c r="AJ15" s="1244"/>
      <c r="AK15" s="1244"/>
      <c r="AL15" s="1244"/>
      <c r="AM15" s="1244"/>
      <c r="AO15" s="702"/>
      <c r="AP15" s="702" t="str">
        <f t="shared" si="0"/>
        <v>Добавить территорию для дифференциации</v>
      </c>
      <c r="AQ15" s="702"/>
      <c r="AR15" s="702"/>
    </row>
    <row r="16" spans="1:44" ht="14.25" hidden="1" customHeight="1">
      <c r="AC16" s="249"/>
      <c r="AK16" s="249"/>
    </row>
    <row r="17" spans="1:44" ht="14.25" hidden="1" customHeight="1">
      <c r="AD17" s="1278"/>
      <c r="AE17" s="1278"/>
      <c r="AF17" s="1278"/>
      <c r="AG17" s="1279"/>
      <c r="AH17" s="2074"/>
      <c r="AI17" s="2073" t="s">
        <v>59</v>
      </c>
      <c r="AJ17" s="2074"/>
      <c r="AK17" s="2073" t="s">
        <v>59</v>
      </c>
    </row>
    <row r="18" spans="1:44" ht="14.25" hidden="1" customHeight="1">
      <c r="AD18" s="1278"/>
      <c r="AE18" s="1278"/>
      <c r="AF18" s="1278"/>
      <c r="AG18" s="250" t="str">
        <f>AH17&amp;"-"&amp;AJ17</f>
        <v>-</v>
      </c>
      <c r="AH18" s="2073"/>
      <c r="AI18" s="2073"/>
      <c r="AJ18" s="2073"/>
      <c r="AK18" s="2073"/>
    </row>
    <row r="19" spans="1:44" ht="14.25" hidden="1" customHeight="1">
      <c r="AK19" s="249"/>
    </row>
    <row r="20" spans="1:44" s="1284" customFormat="1" ht="22.5" hidden="1" customHeight="1">
      <c r="L20" s="1248"/>
      <c r="M20" s="1280"/>
      <c r="N20" s="1280"/>
      <c r="O20" s="1285" t="s">
        <v>477</v>
      </c>
      <c r="P20" s="1280"/>
      <c r="Q20" s="1289"/>
      <c r="R20" s="1289"/>
      <c r="S20" s="645"/>
      <c r="Z20" s="1285"/>
      <c r="AB20" s="1285"/>
      <c r="AH20" s="1285"/>
      <c r="AJ20" s="1285"/>
      <c r="AN20" s="437"/>
      <c r="AO20" s="437"/>
      <c r="AP20" s="437"/>
      <c r="AQ20" s="437"/>
      <c r="AR20" s="437"/>
    </row>
    <row r="21" spans="1:44" s="1284" customFormat="1" ht="14.25" hidden="1" customHeight="1">
      <c r="L21" s="1248"/>
      <c r="M21" s="1280"/>
      <c r="N21" s="1280"/>
      <c r="O21" s="1280"/>
      <c r="P21" s="1280"/>
      <c r="Q21" s="1289"/>
      <c r="R21" s="1289"/>
      <c r="S21" s="645"/>
      <c r="AN21" s="437"/>
      <c r="AO21" s="437"/>
      <c r="AP21" s="437"/>
      <c r="AQ21" s="437"/>
      <c r="AR21" s="437"/>
    </row>
    <row r="22" spans="1:44" s="1284" customFormat="1" ht="14.25" hidden="1" customHeight="1">
      <c r="L22" s="1248"/>
      <c r="M22" s="1280"/>
      <c r="N22" s="1280"/>
      <c r="O22" s="1282" t="s">
        <v>478</v>
      </c>
      <c r="P22" s="1280"/>
      <c r="Q22" s="1289"/>
      <c r="R22" s="1289"/>
      <c r="S22" s="645"/>
      <c r="T22" s="1062" t="s">
        <v>479</v>
      </c>
      <c r="AA22" s="104" t="s">
        <v>480</v>
      </c>
      <c r="AC22" s="104" t="s">
        <v>481</v>
      </c>
      <c r="AD22" s="1062" t="s">
        <v>479</v>
      </c>
      <c r="AI22" s="104" t="s">
        <v>482</v>
      </c>
      <c r="AK22" s="104" t="s">
        <v>481</v>
      </c>
      <c r="AN22" s="437"/>
      <c r="AO22" s="437"/>
      <c r="AP22" s="437"/>
      <c r="AQ22" s="437"/>
      <c r="AR22" s="437"/>
    </row>
    <row r="23" spans="1:44" ht="14.25" hidden="1" customHeight="1">
      <c r="O23" s="1282"/>
    </row>
    <row r="24" spans="1:44" ht="14.25" hidden="1" customHeight="1">
      <c r="O24" s="1282"/>
    </row>
    <row r="25" spans="1:44" ht="14.25" customHeight="1">
      <c r="Q25" s="300"/>
      <c r="R25" s="300"/>
      <c r="S25" s="1197"/>
      <c r="T25" s="286"/>
      <c r="U25" s="286"/>
      <c r="V25" s="435"/>
      <c r="W25" s="435"/>
      <c r="X25" s="435"/>
      <c r="Y25" s="435"/>
      <c r="Z25" s="435"/>
      <c r="AA25" s="435"/>
      <c r="AB25" s="435"/>
      <c r="AC25" s="435"/>
      <c r="AD25" s="435"/>
      <c r="AE25" s="435"/>
      <c r="AF25" s="435"/>
      <c r="AG25" s="435"/>
      <c r="AH25" s="435"/>
      <c r="AI25" s="435"/>
      <c r="AJ25" s="435"/>
      <c r="AK25" s="435"/>
    </row>
    <row r="26" spans="1:44" ht="64.5" customHeight="1">
      <c r="Q26" s="300"/>
      <c r="R26" s="300"/>
      <c r="S26" s="2101"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101"/>
      <c r="U26" s="2101"/>
      <c r="V26" s="2101"/>
      <c r="W26" s="2101"/>
      <c r="X26" s="2101"/>
      <c r="Y26" s="2101"/>
      <c r="Z26" s="2101"/>
      <c r="AA26" s="2101"/>
      <c r="AB26" s="2101"/>
      <c r="AC26" s="2101"/>
      <c r="AD26" s="2101"/>
      <c r="AE26" s="2101"/>
      <c r="AF26" s="2101"/>
      <c r="AG26" s="2101"/>
      <c r="AH26" s="2101"/>
      <c r="AI26" s="2101"/>
      <c r="AJ26" s="2101"/>
      <c r="AK26" s="1154"/>
    </row>
    <row r="27" spans="1:44" ht="14.25" customHeight="1">
      <c r="Q27" s="300"/>
      <c r="R27" s="300"/>
      <c r="S27" s="1961" t="str">
        <f>IF(org=0,"Не определено",org)</f>
        <v>АО СЗ "КМАпроектжилстрой"</v>
      </c>
      <c r="T27" s="1961"/>
      <c r="U27" s="1961"/>
      <c r="V27" s="1961"/>
      <c r="W27" s="1961"/>
      <c r="X27" s="1961"/>
      <c r="Y27" s="1961"/>
      <c r="Z27" s="1961"/>
      <c r="AA27" s="1961"/>
      <c r="AB27" s="1961"/>
      <c r="AC27" s="1961"/>
      <c r="AD27" s="1961"/>
      <c r="AE27" s="1961"/>
      <c r="AF27" s="1961"/>
      <c r="AG27" s="1961"/>
      <c r="AH27" s="1961"/>
      <c r="AI27" s="1961"/>
      <c r="AJ27" s="1961"/>
      <c r="AK27" s="1154"/>
    </row>
    <row r="28" spans="1:44" ht="14.25" hidden="1" customHeight="1">
      <c r="Q28" s="300"/>
      <c r="R28" s="300"/>
      <c r="S28" s="1197"/>
      <c r="T28" s="286"/>
      <c r="U28" s="286"/>
      <c r="V28" s="242"/>
      <c r="W28" s="242"/>
      <c r="X28" s="242"/>
      <c r="Y28" s="242"/>
      <c r="Z28" s="242"/>
      <c r="AA28" s="242"/>
      <c r="AB28" s="242"/>
      <c r="AC28" s="242"/>
      <c r="AD28" s="242"/>
      <c r="AE28" s="242"/>
      <c r="AF28" s="242"/>
      <c r="AG28" s="242"/>
      <c r="AH28" s="242"/>
      <c r="AI28" s="242"/>
      <c r="AJ28" s="242"/>
      <c r="AK28" s="242"/>
      <c r="AL28" s="435"/>
    </row>
    <row r="29" spans="1:44" s="1773" customFormat="1" ht="25.5" hidden="1" customHeight="1">
      <c r="A29" s="1286"/>
      <c r="B29" s="1286"/>
      <c r="C29" s="1286"/>
      <c r="D29" s="1286"/>
      <c r="E29" s="1286"/>
      <c r="F29" s="1286"/>
      <c r="G29" s="1286"/>
      <c r="H29" s="1286"/>
      <c r="I29" s="1286"/>
      <c r="J29" s="1286"/>
      <c r="K29" s="1286"/>
      <c r="L29" s="1287"/>
      <c r="M29" s="1286"/>
      <c r="N29" s="1286"/>
      <c r="O29" s="1286"/>
      <c r="S29" s="2067" t="s">
        <v>40</v>
      </c>
      <c r="T29" s="2067"/>
      <c r="U29" s="1290"/>
      <c r="V29" s="2069" t="str">
        <f>IF(TITLE_NAME_OR_PR_CHANGE="",IF(TITLE_NAME_OR_PR="","",TITLE_NAME_OR_PR),TITLE_NAME_OR_PR_CHANGE)</f>
        <v/>
      </c>
      <c r="W29" s="2069"/>
      <c r="X29" s="2069"/>
      <c r="Y29" s="2069"/>
      <c r="Z29" s="2069"/>
      <c r="AA29" s="2069"/>
      <c r="AB29" s="2069"/>
      <c r="AC29" s="248"/>
      <c r="AD29" s="2069" t="str">
        <f>IF(TITLE_NAME_OR_PR_CHANGE="",IF(TITLE_NAME_OR_PR="","",TITLE_NAME_OR_PR),TITLE_NAME_OR_PR_CHANGE)</f>
        <v/>
      </c>
      <c r="AE29" s="2069"/>
      <c r="AF29" s="2069"/>
      <c r="AG29" s="2069"/>
      <c r="AH29" s="2069"/>
      <c r="AI29" s="2069"/>
      <c r="AJ29" s="2069"/>
      <c r="AK29" s="248"/>
      <c r="AL29" s="248"/>
      <c r="AM29" s="196"/>
      <c r="AN29" s="292"/>
      <c r="AO29" s="292"/>
      <c r="AP29" s="292"/>
      <c r="AQ29" s="292"/>
      <c r="AR29" s="292"/>
    </row>
    <row r="30" spans="1:44" s="1773" customFormat="1" ht="18.75" hidden="1" customHeight="1">
      <c r="A30" s="1286"/>
      <c r="B30" s="1286"/>
      <c r="C30" s="1286"/>
      <c r="D30" s="1286"/>
      <c r="E30" s="1286"/>
      <c r="F30" s="1286"/>
      <c r="G30" s="1286"/>
      <c r="H30" s="1286"/>
      <c r="I30" s="1286"/>
      <c r="J30" s="1286"/>
      <c r="K30" s="1286"/>
      <c r="L30" s="1287"/>
      <c r="M30" s="1286"/>
      <c r="N30" s="1286"/>
      <c r="O30" s="1286"/>
      <c r="S30" s="2067" t="s">
        <v>483</v>
      </c>
      <c r="T30" s="2067"/>
      <c r="U30" s="1290"/>
      <c r="V30" s="2068" t="str">
        <f>IF(TITLE_DATE_CHANGE_PERIOD="",IF(TITLE_DATE_PR="","",TITLE_DATE_PR),TITLE_DATE_CHANGE_PERIOD)</f>
        <v/>
      </c>
      <c r="W30" s="2068"/>
      <c r="X30" s="2068"/>
      <c r="Y30" s="2068"/>
      <c r="Z30" s="2068"/>
      <c r="AA30" s="2068"/>
      <c r="AB30" s="2068"/>
      <c r="AC30" s="248"/>
      <c r="AD30" s="2068" t="str">
        <f>IF(TITLE_DATE_CHANGE_PERIOD="",IF(TITLE_DATE_PR="","",TITLE_DATE_PR),TITLE_DATE_CHANGE_PERIOD)</f>
        <v/>
      </c>
      <c r="AE30" s="2068"/>
      <c r="AF30" s="2068"/>
      <c r="AG30" s="2068"/>
      <c r="AH30" s="2068"/>
      <c r="AI30" s="2068"/>
      <c r="AJ30" s="2068"/>
      <c r="AK30" s="248"/>
      <c r="AL30" s="248"/>
      <c r="AM30" s="196"/>
      <c r="AN30" s="292"/>
      <c r="AO30" s="292"/>
      <c r="AP30" s="292"/>
      <c r="AQ30" s="292"/>
      <c r="AR30" s="292"/>
    </row>
    <row r="31" spans="1:44" s="1773" customFormat="1" ht="18.75" hidden="1" customHeight="1">
      <c r="A31" s="1286"/>
      <c r="B31" s="1286"/>
      <c r="C31" s="1286"/>
      <c r="D31" s="1286"/>
      <c r="E31" s="1286"/>
      <c r="F31" s="1286"/>
      <c r="G31" s="1286"/>
      <c r="H31" s="1286"/>
      <c r="I31" s="1286"/>
      <c r="J31" s="1286"/>
      <c r="K31" s="1286"/>
      <c r="L31" s="1287"/>
      <c r="M31" s="1286"/>
      <c r="N31" s="1286"/>
      <c r="O31" s="1286"/>
      <c r="S31" s="2067" t="s">
        <v>484</v>
      </c>
      <c r="T31" s="2067"/>
      <c r="U31" s="1290"/>
      <c r="V31" s="2069" t="str">
        <f>IF(TITLE_NUMBER_PR_CHANGE="",IF(TITLE_NUMBER_PR="","",TITLE_NUMBER_PR),TITLE_NUMBER_PR_CHANGE)</f>
        <v/>
      </c>
      <c r="W31" s="2069"/>
      <c r="X31" s="2069"/>
      <c r="Y31" s="2069"/>
      <c r="Z31" s="2069"/>
      <c r="AA31" s="2069"/>
      <c r="AB31" s="2069"/>
      <c r="AC31" s="248"/>
      <c r="AD31" s="2069" t="str">
        <f>IF(TITLE_NUMBER_PR_CHANGE="",IF(TITLE_NUMBER_PR="","",TITLE_NUMBER_PR),TITLE_NUMBER_PR_CHANGE)</f>
        <v/>
      </c>
      <c r="AE31" s="2069"/>
      <c r="AF31" s="2069"/>
      <c r="AG31" s="2069"/>
      <c r="AH31" s="2069"/>
      <c r="AI31" s="2069"/>
      <c r="AJ31" s="2069"/>
      <c r="AK31" s="248"/>
      <c r="AL31" s="248"/>
      <c r="AM31" s="196"/>
      <c r="AN31" s="292"/>
      <c r="AO31" s="292"/>
      <c r="AP31" s="292"/>
      <c r="AQ31" s="292"/>
      <c r="AR31" s="292"/>
    </row>
    <row r="32" spans="1:44" s="1773" customFormat="1" ht="18.75" hidden="1" customHeight="1">
      <c r="A32" s="1286"/>
      <c r="B32" s="1286"/>
      <c r="C32" s="1286"/>
      <c r="D32" s="1286"/>
      <c r="E32" s="1286"/>
      <c r="F32" s="1286"/>
      <c r="G32" s="1286"/>
      <c r="H32" s="1286"/>
      <c r="I32" s="1286"/>
      <c r="J32" s="1286"/>
      <c r="K32" s="1286"/>
      <c r="L32" s="1287"/>
      <c r="M32" s="1286"/>
      <c r="N32" s="1286"/>
      <c r="O32" s="1286"/>
      <c r="S32" s="2067" t="s">
        <v>41</v>
      </c>
      <c r="T32" s="2067"/>
      <c r="U32" s="1290"/>
      <c r="V32" s="2069" t="str">
        <f>IF(TITLE_IST_PUB_CHANGE="",IF(TITLE_IST_PUB="","",TITLE_IST_PUB),TITLE_IST_PUB_CHANGE)</f>
        <v/>
      </c>
      <c r="W32" s="2069"/>
      <c r="X32" s="2069"/>
      <c r="Y32" s="2069"/>
      <c r="Z32" s="2069"/>
      <c r="AA32" s="2069"/>
      <c r="AB32" s="2069"/>
      <c r="AC32" s="248"/>
      <c r="AD32" s="2069" t="str">
        <f>IF(TITLE_IST_PUB_CHANGE="",IF(TITLE_IST_PUB="","",TITLE_IST_PUB),TITLE_IST_PUB_CHANGE)</f>
        <v/>
      </c>
      <c r="AE32" s="2069"/>
      <c r="AF32" s="2069"/>
      <c r="AG32" s="2069"/>
      <c r="AH32" s="2069"/>
      <c r="AI32" s="2069"/>
      <c r="AJ32" s="2069"/>
      <c r="AK32" s="248"/>
      <c r="AL32" s="248"/>
      <c r="AM32" s="196"/>
      <c r="AN32" s="292"/>
      <c r="AO32" s="292"/>
      <c r="AP32" s="292"/>
      <c r="AQ32" s="292"/>
      <c r="AR32" s="292"/>
    </row>
    <row r="33" spans="1:44" ht="14.25" hidden="1" customHeight="1">
      <c r="Q33" s="300"/>
      <c r="R33" s="300"/>
      <c r="S33" s="1197"/>
      <c r="T33" s="286"/>
      <c r="U33" s="286"/>
      <c r="V33" s="242"/>
      <c r="W33" s="242"/>
      <c r="X33" s="242"/>
      <c r="Y33" s="242"/>
      <c r="Z33" s="242"/>
      <c r="AA33" s="242"/>
      <c r="AB33" s="242"/>
      <c r="AC33" s="242"/>
      <c r="AD33" s="242"/>
      <c r="AE33" s="242"/>
      <c r="AF33" s="242"/>
      <c r="AG33" s="242"/>
      <c r="AH33" s="242"/>
      <c r="AI33" s="242"/>
      <c r="AJ33" s="242"/>
      <c r="AK33" s="242"/>
      <c r="AL33" s="435"/>
    </row>
    <row r="34" spans="1:44" s="1773" customFormat="1" ht="18.75" hidden="1" customHeight="1">
      <c r="A34" s="1286"/>
      <c r="B34" s="1286"/>
      <c r="C34" s="1286"/>
      <c r="D34" s="1286"/>
      <c r="E34" s="1286"/>
      <c r="F34" s="1286"/>
      <c r="G34" s="1286"/>
      <c r="H34" s="1286"/>
      <c r="I34" s="1286"/>
      <c r="J34" s="1286"/>
      <c r="K34" s="1286"/>
      <c r="L34" s="1287"/>
      <c r="M34" s="1286"/>
      <c r="N34" s="1286"/>
      <c r="O34" s="1286"/>
      <c r="S34" s="2067" t="s">
        <v>485</v>
      </c>
      <c r="T34" s="2067"/>
      <c r="U34" s="1290"/>
      <c r="V34" s="2068" t="str">
        <f>IF(TITLE_DATE_CHANGE_PERIOD="",IF(TITLE_DATE_PR="","",TITLE_DATE_PR),TITLE_DATE_CHANGE_PERIOD)</f>
        <v/>
      </c>
      <c r="W34" s="2068"/>
      <c r="X34" s="2068"/>
      <c r="Y34" s="2068"/>
      <c r="Z34" s="2068"/>
      <c r="AA34" s="2068"/>
      <c r="AB34" s="2068"/>
      <c r="AC34" s="248"/>
      <c r="AD34" s="2068" t="str">
        <f>IF(TITLE_DATE_CHANGE_PERIOD="",IF(TITLE_DATE_PR="","",TITLE_DATE_PR),TITLE_DATE_CHANGE_PERIOD)</f>
        <v/>
      </c>
      <c r="AE34" s="2068"/>
      <c r="AF34" s="2068"/>
      <c r="AG34" s="2068"/>
      <c r="AH34" s="2068"/>
      <c r="AI34" s="2068"/>
      <c r="AJ34" s="2068"/>
      <c r="AK34" s="248"/>
      <c r="AL34" s="248"/>
      <c r="AM34" s="196"/>
      <c r="AN34" s="292"/>
      <c r="AO34" s="292"/>
      <c r="AP34" s="292"/>
      <c r="AQ34" s="292"/>
      <c r="AR34" s="292"/>
    </row>
    <row r="35" spans="1:44" s="1773" customFormat="1" ht="18.75" hidden="1" customHeight="1">
      <c r="A35" s="1286"/>
      <c r="B35" s="1286"/>
      <c r="C35" s="1286"/>
      <c r="D35" s="1286"/>
      <c r="E35" s="1286"/>
      <c r="F35" s="1286"/>
      <c r="G35" s="1286"/>
      <c r="H35" s="1286"/>
      <c r="I35" s="1286"/>
      <c r="J35" s="1286"/>
      <c r="K35" s="1286"/>
      <c r="L35" s="1287"/>
      <c r="M35" s="1286"/>
      <c r="N35" s="1286"/>
      <c r="O35" s="1286"/>
      <c r="S35" s="2067" t="s">
        <v>486</v>
      </c>
      <c r="T35" s="2067"/>
      <c r="U35" s="1290"/>
      <c r="V35" s="2069" t="str">
        <f>IF(TITLE_NUMBER_PR_CHANGE="",IF(TITLE_NUMBER_PR="","",TITLE_NUMBER_PR),TITLE_NUMBER_PR_CHANGE)</f>
        <v/>
      </c>
      <c r="W35" s="2069"/>
      <c r="X35" s="2069"/>
      <c r="Y35" s="2069"/>
      <c r="Z35" s="2069"/>
      <c r="AA35" s="2069"/>
      <c r="AB35" s="2069"/>
      <c r="AC35" s="248"/>
      <c r="AD35" s="2069" t="str">
        <f>IF(TITLE_NUMBER_PR_CHANGE="",IF(TITLE_NUMBER_PR="","",TITLE_NUMBER_PR),TITLE_NUMBER_PR_CHANGE)</f>
        <v/>
      </c>
      <c r="AE35" s="2069"/>
      <c r="AF35" s="2069"/>
      <c r="AG35" s="2069"/>
      <c r="AH35" s="2069"/>
      <c r="AI35" s="2069"/>
      <c r="AJ35" s="2069"/>
      <c r="AK35" s="248"/>
      <c r="AL35" s="248"/>
      <c r="AM35" s="196"/>
      <c r="AN35" s="292"/>
      <c r="AO35" s="292"/>
      <c r="AP35" s="292"/>
      <c r="AQ35" s="292"/>
      <c r="AR35" s="292"/>
    </row>
    <row r="36" spans="1:44" s="1773" customFormat="1" ht="0" hidden="1" customHeight="1">
      <c r="A36" s="1286"/>
      <c r="B36" s="1286"/>
      <c r="C36" s="1286"/>
      <c r="D36" s="1286"/>
      <c r="E36" s="1286"/>
      <c r="F36" s="1286"/>
      <c r="G36" s="1286"/>
      <c r="H36" s="1286"/>
      <c r="I36" s="1286"/>
      <c r="J36" s="1286"/>
      <c r="K36" s="1286"/>
      <c r="L36" s="1287"/>
      <c r="M36" s="1286"/>
      <c r="N36" s="1286"/>
      <c r="O36" s="1286"/>
      <c r="S36" s="244"/>
      <c r="T36" s="244"/>
      <c r="U36" s="1259"/>
      <c r="V36" s="248"/>
      <c r="W36" s="248"/>
      <c r="X36" s="248"/>
      <c r="Y36" s="248"/>
      <c r="Z36" s="248"/>
      <c r="AA36" s="248"/>
      <c r="AB36" s="248"/>
      <c r="AC36" s="194" t="s">
        <v>487</v>
      </c>
      <c r="AD36" s="248"/>
      <c r="AE36" s="248"/>
      <c r="AF36" s="248"/>
      <c r="AG36" s="248"/>
      <c r="AH36" s="248"/>
      <c r="AI36" s="248"/>
      <c r="AJ36" s="248"/>
      <c r="AK36" s="194" t="s">
        <v>487</v>
      </c>
      <c r="AN36" s="292"/>
      <c r="AO36" s="292"/>
      <c r="AP36" s="292"/>
      <c r="AQ36" s="292"/>
      <c r="AR36" s="292"/>
    </row>
    <row r="37" spans="1:44" ht="14.25" customHeight="1">
      <c r="Q37" s="300"/>
      <c r="R37" s="300"/>
      <c r="S37" s="1197"/>
      <c r="T37" s="286"/>
      <c r="U37" s="1155"/>
      <c r="V37" s="2087"/>
      <c r="W37" s="2087"/>
      <c r="X37" s="2087"/>
      <c r="Y37" s="2087"/>
      <c r="Z37" s="2087"/>
      <c r="AA37" s="2087"/>
      <c r="AB37" s="2087"/>
      <c r="AC37" s="2087"/>
      <c r="AD37" s="2087"/>
      <c r="AE37" s="2087"/>
      <c r="AF37" s="2087"/>
      <c r="AG37" s="2087"/>
      <c r="AH37" s="2087"/>
      <c r="AI37" s="2087"/>
      <c r="AJ37" s="2087"/>
      <c r="AK37" s="2087"/>
    </row>
    <row r="38" spans="1:44" ht="14.25" customHeight="1">
      <c r="Q38" s="300"/>
      <c r="R38" s="300"/>
      <c r="S38" s="1874" t="s">
        <v>291</v>
      </c>
      <c r="T38" s="1874"/>
      <c r="U38" s="1874"/>
      <c r="V38" s="1874"/>
      <c r="W38" s="1874"/>
      <c r="X38" s="1874"/>
      <c r="Y38" s="1874"/>
      <c r="Z38" s="1874"/>
      <c r="AA38" s="1874"/>
      <c r="AB38" s="1874"/>
      <c r="AC38" s="1874"/>
      <c r="AD38" s="1874"/>
      <c r="AE38" s="1874"/>
      <c r="AF38" s="1874"/>
      <c r="AG38" s="1874"/>
      <c r="AH38" s="1874"/>
      <c r="AI38" s="1874"/>
      <c r="AJ38" s="1874"/>
      <c r="AK38" s="1874"/>
      <c r="AL38" s="1874"/>
      <c r="AM38" s="1874" t="s">
        <v>292</v>
      </c>
    </row>
    <row r="39" spans="1:44" ht="14.25" customHeight="1">
      <c r="Q39" s="300"/>
      <c r="R39" s="300"/>
      <c r="S39" s="2088" t="s">
        <v>88</v>
      </c>
      <c r="T39" s="1959" t="s">
        <v>488</v>
      </c>
      <c r="U39" s="215"/>
      <c r="V39" s="2089" t="s">
        <v>489</v>
      </c>
      <c r="W39" s="2090"/>
      <c r="X39" s="2090"/>
      <c r="Y39" s="2090"/>
      <c r="Z39" s="2090"/>
      <c r="AA39" s="2090"/>
      <c r="AB39" s="2091"/>
      <c r="AC39" s="2092" t="s">
        <v>490</v>
      </c>
      <c r="AD39" s="2089" t="s">
        <v>489</v>
      </c>
      <c r="AE39" s="2090"/>
      <c r="AF39" s="2090"/>
      <c r="AG39" s="2090"/>
      <c r="AH39" s="2090"/>
      <c r="AI39" s="2090"/>
      <c r="AJ39" s="2091"/>
      <c r="AK39" s="2092" t="s">
        <v>491</v>
      </c>
      <c r="AL39" s="2095" t="s">
        <v>492</v>
      </c>
      <c r="AM39" s="1874"/>
    </row>
    <row r="40" spans="1:44" ht="33.75" customHeight="1">
      <c r="Q40" s="300"/>
      <c r="R40" s="300"/>
      <c r="S40" s="2088"/>
      <c r="T40" s="1959"/>
      <c r="U40" s="939"/>
      <c r="V40" s="1928" t="s">
        <v>493</v>
      </c>
      <c r="W40" s="2084"/>
      <c r="X40" s="1856" t="s">
        <v>495</v>
      </c>
      <c r="Y40" s="1855"/>
      <c r="Z40" s="1856" t="s">
        <v>496</v>
      </c>
      <c r="AA40" s="1861"/>
      <c r="AB40" s="1855"/>
      <c r="AC40" s="2093"/>
      <c r="AD40" s="1928" t="s">
        <v>493</v>
      </c>
      <c r="AE40" s="2084"/>
      <c r="AF40" s="1856" t="s">
        <v>495</v>
      </c>
      <c r="AG40" s="1855"/>
      <c r="AH40" s="1856" t="s">
        <v>496</v>
      </c>
      <c r="AI40" s="1861"/>
      <c r="AJ40" s="1855"/>
      <c r="AK40" s="2093"/>
      <c r="AL40" s="2096"/>
      <c r="AM40" s="1874"/>
    </row>
    <row r="41" spans="1:44" ht="33.75" customHeight="1">
      <c r="A41" s="1288"/>
      <c r="B41" s="1288" t="s">
        <v>140</v>
      </c>
      <c r="C41" s="1288" t="s">
        <v>141</v>
      </c>
      <c r="D41" s="1288" t="s">
        <v>142</v>
      </c>
      <c r="E41" s="1282" t="s">
        <v>497</v>
      </c>
      <c r="F41" s="1282" t="s">
        <v>498</v>
      </c>
      <c r="G41" s="1282" t="s">
        <v>499</v>
      </c>
      <c r="H41" s="1282" t="s">
        <v>500</v>
      </c>
      <c r="I41" s="1282" t="s">
        <v>501</v>
      </c>
      <c r="J41" s="1282" t="s">
        <v>502</v>
      </c>
      <c r="K41" s="1282" t="s">
        <v>503</v>
      </c>
      <c r="L41" s="1282" t="s">
        <v>478</v>
      </c>
      <c r="Q41" s="300"/>
      <c r="R41" s="300"/>
      <c r="S41" s="2088"/>
      <c r="T41" s="1959"/>
      <c r="U41" s="216"/>
      <c r="V41" s="1984"/>
      <c r="W41" s="2085"/>
      <c r="X41" s="1130" t="s">
        <v>504</v>
      </c>
      <c r="Y41" s="1130" t="s">
        <v>505</v>
      </c>
      <c r="Z41" s="1257" t="s">
        <v>506</v>
      </c>
      <c r="AA41" s="1965" t="s">
        <v>507</v>
      </c>
      <c r="AB41" s="1979"/>
      <c r="AC41" s="2094"/>
      <c r="AD41" s="1984"/>
      <c r="AE41" s="2085"/>
      <c r="AF41" s="1130" t="s">
        <v>504</v>
      </c>
      <c r="AG41" s="1130" t="s">
        <v>505</v>
      </c>
      <c r="AH41" s="1257" t="s">
        <v>506</v>
      </c>
      <c r="AI41" s="1965" t="s">
        <v>507</v>
      </c>
      <c r="AJ41" s="1979"/>
      <c r="AK41" s="2094"/>
      <c r="AL41" s="2097"/>
      <c r="AM41" s="1874"/>
    </row>
    <row r="42" spans="1:44" s="1558" customFormat="1" ht="11.25" hidden="1" customHeight="1">
      <c r="A42" s="1288"/>
      <c r="B42" s="1288"/>
      <c r="C42" s="1288"/>
      <c r="D42" s="1288"/>
      <c r="E42" s="1288"/>
      <c r="F42" s="1288"/>
      <c r="G42" s="1288"/>
      <c r="H42" s="1288"/>
      <c r="I42" s="1288"/>
      <c r="J42" s="1288"/>
      <c r="K42" s="1288"/>
      <c r="L42" s="1282"/>
      <c r="M42" s="1280"/>
      <c r="N42" s="1280"/>
      <c r="O42" s="1280"/>
      <c r="P42" s="1157"/>
      <c r="Q42" s="1158"/>
      <c r="R42" s="1173">
        <v>1</v>
      </c>
      <c r="S42" s="1199" t="s">
        <v>109</v>
      </c>
      <c r="T42" s="1174" t="s">
        <v>110</v>
      </c>
      <c r="U42" s="1156" t="str">
        <f ca="1">OFFSET(U42,0,-1)</f>
        <v>2</v>
      </c>
      <c r="V42" s="1254">
        <f ca="1">OFFSET(V42,0,-1)+1</f>
        <v>3</v>
      </c>
      <c r="W42" s="1254"/>
      <c r="X42" s="1254">
        <f ca="1">OFFSET(X42,0,-1)+1</f>
        <v>1</v>
      </c>
      <c r="Y42" s="1254">
        <f ca="1">OFFSET(Y42,0,-1)+1</f>
        <v>2</v>
      </c>
      <c r="Z42" s="1254">
        <f ca="1">OFFSET(Z42,0,-1)+1</f>
        <v>3</v>
      </c>
      <c r="AA42" s="2086">
        <f ca="1">OFFSET(AA42,0,-1)+1</f>
        <v>4</v>
      </c>
      <c r="AB42" s="2086"/>
      <c r="AC42" s="1254">
        <f ca="1">OFFSET(AC42,0,-2)+1</f>
        <v>5</v>
      </c>
      <c r="AD42" s="1254">
        <f ca="1">OFFSET(AD42,0,-1)+1</f>
        <v>6</v>
      </c>
      <c r="AE42" s="1254"/>
      <c r="AF42" s="1254">
        <f ca="1">OFFSET(AF42,0,-1)+1</f>
        <v>1</v>
      </c>
      <c r="AG42" s="1254">
        <f ca="1">OFFSET(AG42,0,-1)+1</f>
        <v>2</v>
      </c>
      <c r="AH42" s="1254">
        <f ca="1">OFFSET(AH42,0,-1)+1</f>
        <v>3</v>
      </c>
      <c r="AI42" s="2086">
        <f ca="1">OFFSET(AI42,0,-1)+1</f>
        <v>4</v>
      </c>
      <c r="AJ42" s="2086"/>
      <c r="AK42" s="1254">
        <f ca="1">OFFSET(AK42,0,-2)+1</f>
        <v>5</v>
      </c>
      <c r="AL42" s="1156">
        <f ca="1">OFFSET(AL42,0,-1)</f>
        <v>5</v>
      </c>
      <c r="AM42" s="1254">
        <f ca="1">OFFSET(AM42,0,-1)+1</f>
        <v>6</v>
      </c>
      <c r="AN42" s="437"/>
      <c r="AO42" s="437"/>
      <c r="AP42" s="437"/>
      <c r="AQ42" s="437"/>
      <c r="AR42" s="437"/>
    </row>
    <row r="43" spans="1:44" ht="21" customHeight="1">
      <c r="A43" s="1281" t="s">
        <v>185</v>
      </c>
      <c r="B43" s="1281"/>
      <c r="C43" s="1281"/>
      <c r="D43" s="1281"/>
      <c r="E43" s="2076">
        <v>1</v>
      </c>
      <c r="F43" s="1281"/>
      <c r="G43" s="1281"/>
      <c r="H43" s="1281"/>
      <c r="I43" s="1281"/>
      <c r="J43" s="1281"/>
      <c r="K43" s="1281"/>
      <c r="L43" s="1282"/>
      <c r="M43" s="1283"/>
      <c r="N43" s="1283"/>
      <c r="O43" s="1283"/>
      <c r="P43" s="282"/>
      <c r="Q43" s="281"/>
      <c r="R43" s="276"/>
      <c r="S43" s="1255">
        <f>INDEX(PT_DIFFERENTIATION_NUM_NTAR,MATCH(A43,PT_DIFFERENTIATION_NTAR_ID,0))</f>
        <v>0</v>
      </c>
      <c r="T43" s="212" t="s">
        <v>128</v>
      </c>
      <c r="U43" s="214"/>
      <c r="V43" s="2070"/>
      <c r="W43" s="2071"/>
      <c r="X43" s="2071"/>
      <c r="Y43" s="2071"/>
      <c r="Z43" s="2071"/>
      <c r="AA43" s="2071"/>
      <c r="AB43" s="2071"/>
      <c r="AC43" s="2072"/>
      <c r="AD43" s="2070" t="str">
        <f>INDEX(PT_DIFFERENTIATION_NTAR,MATCH(A43,PT_DIFFERENTIATION_NTAR_ID,0))</f>
        <v/>
      </c>
      <c r="AE43" s="2071"/>
      <c r="AF43" s="2071"/>
      <c r="AG43" s="2071"/>
      <c r="AH43" s="2071"/>
      <c r="AI43" s="2071"/>
      <c r="AJ43" s="2071"/>
      <c r="AK43" s="2071"/>
      <c r="AL43" s="2072"/>
      <c r="AM43" s="1179"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426"/>
      <c r="AP43" s="426" t="str">
        <f t="shared" ref="AP43:AP57" si="1">IF(T43="","",T43)</f>
        <v>Наименование тарифа</v>
      </c>
      <c r="AQ43" s="426"/>
      <c r="AR43" s="426"/>
    </row>
    <row r="44" spans="1:44" ht="21" customHeight="1">
      <c r="A44" s="1281" t="s">
        <v>185</v>
      </c>
      <c r="B44" s="1281" t="s">
        <v>186</v>
      </c>
      <c r="C44" s="1281"/>
      <c r="D44" s="1281"/>
      <c r="E44" s="2077"/>
      <c r="F44" s="2076">
        <v>1</v>
      </c>
      <c r="G44" s="1281"/>
      <c r="H44" s="1281"/>
      <c r="I44" s="1281"/>
      <c r="J44" s="1281"/>
      <c r="K44" s="1281"/>
      <c r="L44" s="1282"/>
      <c r="M44" s="1283"/>
      <c r="N44" s="1283"/>
      <c r="O44" s="1283"/>
      <c r="P44" s="1251"/>
      <c r="Q44" s="273"/>
      <c r="R44" s="274"/>
      <c r="S44" s="1255" t="str">
        <f>INDEX(PT_DIFFERENTIATION_NUM_TER,MATCH(B44,PT_DIFFERENTIATION_TER_ID,0))</f>
        <v>.</v>
      </c>
      <c r="T44" s="224" t="s">
        <v>460</v>
      </c>
      <c r="U44" s="214"/>
      <c r="V44" s="2070"/>
      <c r="W44" s="2071"/>
      <c r="X44" s="2071"/>
      <c r="Y44" s="2071"/>
      <c r="Z44" s="2071"/>
      <c r="AA44" s="2071"/>
      <c r="AB44" s="2071"/>
      <c r="AC44" s="2072"/>
      <c r="AD44" s="2070" t="str">
        <f>INDEX(PT_DIFFERENTIATION_TER,MATCH(B44,PT_DIFFERENTIATION_TER_ID,0))</f>
        <v/>
      </c>
      <c r="AE44" s="2071"/>
      <c r="AF44" s="2071"/>
      <c r="AG44" s="2071"/>
      <c r="AH44" s="2071"/>
      <c r="AI44" s="2071"/>
      <c r="AJ44" s="2071"/>
      <c r="AK44" s="2071"/>
      <c r="AL44" s="2072"/>
      <c r="AM44" s="1179" t="s">
        <v>461</v>
      </c>
      <c r="AO44" s="426"/>
      <c r="AP44" s="426" t="str">
        <f t="shared" si="1"/>
        <v>Территория действия тарифа</v>
      </c>
      <c r="AQ44" s="426"/>
      <c r="AR44" s="426"/>
    </row>
    <row r="45" spans="1:44" ht="23.25" customHeight="1">
      <c r="A45" s="1281" t="s">
        <v>185</v>
      </c>
      <c r="B45" s="1281" t="s">
        <v>186</v>
      </c>
      <c r="C45" s="1281" t="s">
        <v>187</v>
      </c>
      <c r="D45" s="1281"/>
      <c r="E45" s="2077"/>
      <c r="F45" s="2077"/>
      <c r="G45" s="2076">
        <v>1</v>
      </c>
      <c r="H45" s="1281"/>
      <c r="I45" s="1281"/>
      <c r="J45" s="1281"/>
      <c r="K45" s="1281"/>
      <c r="L45" s="1282"/>
      <c r="M45" s="1283"/>
      <c r="N45" s="1283"/>
      <c r="O45" s="1283"/>
      <c r="P45" s="275"/>
      <c r="Q45" s="273"/>
      <c r="R45" s="274"/>
      <c r="S45" s="1255" t="str">
        <f>INDEX(PT_DIFFERENTIATION_NUM_CS,MATCH(C45,PT_DIFFERENTIATION_CS_ID,0))</f>
        <v>..</v>
      </c>
      <c r="T45" s="225" t="s">
        <v>462</v>
      </c>
      <c r="U45" s="214"/>
      <c r="V45" s="2070"/>
      <c r="W45" s="2071"/>
      <c r="X45" s="2071"/>
      <c r="Y45" s="2071"/>
      <c r="Z45" s="2071"/>
      <c r="AA45" s="2071"/>
      <c r="AB45" s="2071"/>
      <c r="AC45" s="2072"/>
      <c r="AD45" s="2070" t="str">
        <f>INDEX(PT_DIFFERENTIATION_CS,MATCH(C45,PT_DIFFERENTIATION_CS_ID,0))</f>
        <v/>
      </c>
      <c r="AE45" s="2071"/>
      <c r="AF45" s="2071"/>
      <c r="AG45" s="2071"/>
      <c r="AH45" s="2071"/>
      <c r="AI45" s="2071"/>
      <c r="AJ45" s="2071"/>
      <c r="AK45" s="2071"/>
      <c r="AL45" s="2072"/>
      <c r="AM45" s="1179" t="s">
        <v>463</v>
      </c>
      <c r="AO45" s="426"/>
      <c r="AP45" s="426" t="str">
        <f t="shared" si="1"/>
        <v xml:space="preserve">Наименование системы теплоснабжения </v>
      </c>
      <c r="AQ45" s="426"/>
      <c r="AR45" s="426"/>
    </row>
    <row r="46" spans="1:44" ht="21" customHeight="1">
      <c r="A46" s="1281" t="s">
        <v>185</v>
      </c>
      <c r="B46" s="1281" t="s">
        <v>186</v>
      </c>
      <c r="C46" s="1281" t="s">
        <v>187</v>
      </c>
      <c r="D46" s="1281" t="s">
        <v>188</v>
      </c>
      <c r="E46" s="2077"/>
      <c r="F46" s="2077"/>
      <c r="G46" s="2077"/>
      <c r="H46" s="2076">
        <v>1</v>
      </c>
      <c r="I46" s="1281"/>
      <c r="J46" s="1281"/>
      <c r="K46" s="1281"/>
      <c r="L46" s="1282"/>
      <c r="M46" s="1283"/>
      <c r="N46" s="1283"/>
      <c r="O46" s="1283"/>
      <c r="P46" s="275"/>
      <c r="Q46" s="273"/>
      <c r="R46" s="274"/>
      <c r="S46" s="1255" t="str">
        <f>INDEX(PT_DIFFERENTIATION_NUM_IST_TE,MATCH(D46,PT_DIFFERENTIATION_IST_TE_ID,0))</f>
        <v>...</v>
      </c>
      <c r="T46" s="226" t="s">
        <v>464</v>
      </c>
      <c r="U46" s="214"/>
      <c r="V46" s="2070"/>
      <c r="W46" s="2071"/>
      <c r="X46" s="2071"/>
      <c r="Y46" s="2071"/>
      <c r="Z46" s="2071"/>
      <c r="AA46" s="2071"/>
      <c r="AB46" s="2071"/>
      <c r="AC46" s="2072"/>
      <c r="AD46" s="2070" t="str">
        <f>INDEX(PT_DIFFERENTIATION_IST_TE,MATCH(D46,PT_DIFFERENTIATION_IST_TE_ID,0))</f>
        <v/>
      </c>
      <c r="AE46" s="2071"/>
      <c r="AF46" s="2071"/>
      <c r="AG46" s="2071"/>
      <c r="AH46" s="2071"/>
      <c r="AI46" s="2071"/>
      <c r="AJ46" s="2071"/>
      <c r="AK46" s="2071"/>
      <c r="AL46" s="2072"/>
      <c r="AM46" s="1179" t="s">
        <v>465</v>
      </c>
      <c r="AO46" s="426"/>
      <c r="AP46" s="426" t="str">
        <f t="shared" si="1"/>
        <v xml:space="preserve">Источник тепловой энергии  </v>
      </c>
      <c r="AQ46" s="426"/>
      <c r="AR46" s="426"/>
    </row>
    <row r="47" spans="1:44" s="1559" customFormat="1" ht="0" hidden="1" customHeight="1">
      <c r="A47" s="1262" t="s">
        <v>185</v>
      </c>
      <c r="B47" s="1262" t="s">
        <v>186</v>
      </c>
      <c r="C47" s="1262" t="s">
        <v>187</v>
      </c>
      <c r="D47" s="1262" t="s">
        <v>188</v>
      </c>
      <c r="E47" s="2077"/>
      <c r="F47" s="2077"/>
      <c r="G47" s="2077"/>
      <c r="H47" s="2077"/>
      <c r="I47" s="2078" t="str">
        <f>S46&amp;".1"</f>
        <v>....1</v>
      </c>
      <c r="J47" s="1262"/>
      <c r="K47" s="1262"/>
      <c r="L47" s="1265" t="s">
        <v>466</v>
      </c>
      <c r="M47" s="436"/>
      <c r="N47" s="436"/>
      <c r="O47" s="436"/>
      <c r="P47" s="1995">
        <v>1</v>
      </c>
      <c r="Q47" s="1250"/>
      <c r="R47" s="277"/>
      <c r="S47" s="950"/>
      <c r="T47" s="1301"/>
      <c r="U47" s="1302"/>
      <c r="V47" s="2105"/>
      <c r="W47" s="2106"/>
      <c r="X47" s="2106"/>
      <c r="Y47" s="2106"/>
      <c r="Z47" s="2106"/>
      <c r="AA47" s="2106"/>
      <c r="AB47" s="2106"/>
      <c r="AC47" s="2107"/>
      <c r="AD47" s="2105"/>
      <c r="AE47" s="2106"/>
      <c r="AF47" s="2106"/>
      <c r="AG47" s="2106"/>
      <c r="AH47" s="2106"/>
      <c r="AI47" s="2106"/>
      <c r="AJ47" s="2106"/>
      <c r="AK47" s="2106"/>
      <c r="AL47" s="2107"/>
      <c r="AM47" s="1303"/>
      <c r="AO47" s="426"/>
      <c r="AP47" s="426" t="str">
        <f t="shared" si="1"/>
        <v/>
      </c>
      <c r="AQ47" s="426"/>
      <c r="AR47" s="426"/>
    </row>
    <row r="48" spans="1:44" ht="21" customHeight="1">
      <c r="A48" s="1281" t="s">
        <v>185</v>
      </c>
      <c r="B48" s="1281" t="s">
        <v>186</v>
      </c>
      <c r="C48" s="1281" t="s">
        <v>187</v>
      </c>
      <c r="D48" s="1281" t="s">
        <v>188</v>
      </c>
      <c r="E48" s="2077"/>
      <c r="F48" s="2077"/>
      <c r="G48" s="2077"/>
      <c r="H48" s="2077"/>
      <c r="I48" s="2079"/>
      <c r="J48" s="2078" t="str">
        <f>S46&amp;".1"</f>
        <v>....1</v>
      </c>
      <c r="K48" s="1281"/>
      <c r="L48" s="1282" t="s">
        <v>469</v>
      </c>
      <c r="P48" s="1995"/>
      <c r="Q48" s="1995">
        <v>1</v>
      </c>
      <c r="R48" s="278"/>
      <c r="S48" s="1255" t="str">
        <f>$J48</f>
        <v>....1</v>
      </c>
      <c r="T48" s="201" t="s">
        <v>470</v>
      </c>
      <c r="U48" s="214"/>
      <c r="V48" s="2064"/>
      <c r="W48" s="2065"/>
      <c r="X48" s="2065"/>
      <c r="Y48" s="2065"/>
      <c r="Z48" s="2065"/>
      <c r="AA48" s="2065"/>
      <c r="AB48" s="2065"/>
      <c r="AC48" s="2066"/>
      <c r="AD48" s="2064"/>
      <c r="AE48" s="2065"/>
      <c r="AF48" s="2065"/>
      <c r="AG48" s="2065"/>
      <c r="AH48" s="2065"/>
      <c r="AI48" s="2065"/>
      <c r="AJ48" s="2065"/>
      <c r="AK48" s="2065"/>
      <c r="AL48" s="2066"/>
      <c r="AM48" s="1179" t="s">
        <v>471</v>
      </c>
      <c r="AO48" s="426"/>
      <c r="AP48" s="426" t="str">
        <f t="shared" si="1"/>
        <v>Группа потребителей</v>
      </c>
      <c r="AQ48" s="426"/>
      <c r="AR48" s="426"/>
    </row>
    <row r="49" spans="1:44" ht="21" customHeight="1">
      <c r="A49" s="1281" t="s">
        <v>185</v>
      </c>
      <c r="B49" s="1281" t="s">
        <v>186</v>
      </c>
      <c r="C49" s="1281" t="s">
        <v>187</v>
      </c>
      <c r="D49" s="1281" t="s">
        <v>188</v>
      </c>
      <c r="E49" s="2077"/>
      <c r="F49" s="2077"/>
      <c r="G49" s="2077"/>
      <c r="H49" s="2077"/>
      <c r="I49" s="2079"/>
      <c r="J49" s="2079"/>
      <c r="K49" s="2078" t="str">
        <f>J48&amp;".1"</f>
        <v>....1.1</v>
      </c>
      <c r="L49" s="1282" t="s">
        <v>472</v>
      </c>
      <c r="P49" s="1995"/>
      <c r="Q49" s="1995"/>
      <c r="R49" s="278">
        <v>1</v>
      </c>
      <c r="S49" s="1255" t="str">
        <f>$K49</f>
        <v>....1.1</v>
      </c>
      <c r="T49" s="1266"/>
      <c r="U49" s="214"/>
      <c r="V49" s="664"/>
      <c r="W49" s="246"/>
      <c r="X49" s="664"/>
      <c r="Y49" s="1178"/>
      <c r="Z49" s="2080"/>
      <c r="AA49" s="1885" t="s">
        <v>59</v>
      </c>
      <c r="AB49" s="2080"/>
      <c r="AC49" s="1885" t="s">
        <v>59</v>
      </c>
      <c r="AD49" s="664"/>
      <c r="AE49" s="246"/>
      <c r="AF49" s="664"/>
      <c r="AG49" s="1178"/>
      <c r="AH49" s="2080"/>
      <c r="AI49" s="1885" t="s">
        <v>59</v>
      </c>
      <c r="AJ49" s="2082"/>
      <c r="AK49" s="1885" t="s">
        <v>59</v>
      </c>
      <c r="AL49" s="1267"/>
      <c r="AM49" s="2098" t="s">
        <v>516</v>
      </c>
      <c r="AN49" s="437" t="e">
        <f ca="1">STRCHECKDATE(V50:AL50)</f>
        <v>#NAME?</v>
      </c>
      <c r="AO49" s="426"/>
      <c r="AP49" s="426" t="str">
        <f t="shared" si="1"/>
        <v/>
      </c>
      <c r="AQ49" s="426"/>
      <c r="AR49" s="426"/>
    </row>
    <row r="50" spans="1:44" ht="0.75" customHeight="1">
      <c r="A50" s="1281" t="s">
        <v>185</v>
      </c>
      <c r="B50" s="1281" t="s">
        <v>186</v>
      </c>
      <c r="C50" s="1281" t="s">
        <v>187</v>
      </c>
      <c r="D50" s="1281" t="s">
        <v>188</v>
      </c>
      <c r="E50" s="2077"/>
      <c r="F50" s="2077"/>
      <c r="G50" s="2077"/>
      <c r="H50" s="2077"/>
      <c r="I50" s="2079"/>
      <c r="J50" s="2079"/>
      <c r="K50" s="2078"/>
      <c r="L50" s="1282"/>
      <c r="P50" s="1995"/>
      <c r="Q50" s="1995"/>
      <c r="R50" s="278"/>
      <c r="S50" s="1261"/>
      <c r="T50" s="214"/>
      <c r="U50" s="214"/>
      <c r="V50" s="246"/>
      <c r="W50" s="246"/>
      <c r="X50" s="246"/>
      <c r="Y50" s="250" t="str">
        <f>Z49&amp;"-"&amp;AB49</f>
        <v>-</v>
      </c>
      <c r="Z50" s="2081"/>
      <c r="AA50" s="1885"/>
      <c r="AB50" s="2081"/>
      <c r="AC50" s="1885"/>
      <c r="AD50" s="246"/>
      <c r="AE50" s="246"/>
      <c r="AF50" s="246"/>
      <c r="AG50" s="250" t="str">
        <f>AH49&amp;"-"&amp;AJ49</f>
        <v>-</v>
      </c>
      <c r="AH50" s="2081"/>
      <c r="AI50" s="1885"/>
      <c r="AJ50" s="2083"/>
      <c r="AK50" s="1885"/>
      <c r="AL50" s="1268"/>
      <c r="AM50" s="2099"/>
      <c r="AO50" s="426"/>
      <c r="AP50" s="426" t="str">
        <f t="shared" si="1"/>
        <v/>
      </c>
      <c r="AQ50" s="426"/>
      <c r="AR50" s="426"/>
    </row>
    <row r="51" spans="1:44" ht="11.25" customHeight="1">
      <c r="A51" s="1281" t="s">
        <v>185</v>
      </c>
      <c r="B51" s="1281" t="s">
        <v>186</v>
      </c>
      <c r="C51" s="1281" t="s">
        <v>187</v>
      </c>
      <c r="D51" s="1281" t="s">
        <v>188</v>
      </c>
      <c r="E51" s="2077"/>
      <c r="F51" s="2077"/>
      <c r="G51" s="2077"/>
      <c r="H51" s="2077"/>
      <c r="I51" s="2079"/>
      <c r="J51" s="2078"/>
      <c r="K51" s="1281"/>
      <c r="L51" s="1282"/>
      <c r="P51" s="1995"/>
      <c r="Q51" s="1995"/>
      <c r="R51" s="277"/>
      <c r="S51" s="1200"/>
      <c r="T51" s="202" t="s">
        <v>474</v>
      </c>
      <c r="U51" s="291"/>
      <c r="V51" s="291"/>
      <c r="W51" s="291"/>
      <c r="X51" s="291"/>
      <c r="Y51" s="291"/>
      <c r="Z51" s="291"/>
      <c r="AA51" s="291"/>
      <c r="AB51" s="291"/>
      <c r="AC51" s="291"/>
      <c r="AD51" s="291"/>
      <c r="AE51" s="291"/>
      <c r="AF51" s="291"/>
      <c r="AG51" s="291"/>
      <c r="AH51" s="291"/>
      <c r="AI51" s="291"/>
      <c r="AJ51" s="291"/>
      <c r="AK51" s="291"/>
      <c r="AL51" s="245"/>
      <c r="AM51" s="2100"/>
      <c r="AO51" s="426"/>
      <c r="AP51" s="426" t="str">
        <f t="shared" si="1"/>
        <v>Добавить вид теплоносителя (параметры теплоносителя)</v>
      </c>
      <c r="AQ51" s="426"/>
      <c r="AR51" s="426"/>
    </row>
    <row r="52" spans="1:44" ht="11.25" customHeight="1">
      <c r="A52" s="1281" t="s">
        <v>185</v>
      </c>
      <c r="B52" s="1281" t="s">
        <v>186</v>
      </c>
      <c r="C52" s="1281" t="s">
        <v>187</v>
      </c>
      <c r="D52" s="1281" t="s">
        <v>188</v>
      </c>
      <c r="E52" s="2077"/>
      <c r="F52" s="2077"/>
      <c r="G52" s="2077"/>
      <c r="H52" s="2077"/>
      <c r="I52" s="2078"/>
      <c r="J52" s="1281"/>
      <c r="K52" s="1281"/>
      <c r="L52" s="1282"/>
      <c r="P52" s="1995"/>
      <c r="Q52" s="1250"/>
      <c r="R52" s="277"/>
      <c r="S52" s="1200"/>
      <c r="T52" s="288" t="s">
        <v>475</v>
      </c>
      <c r="U52" s="291"/>
      <c r="V52" s="291"/>
      <c r="W52" s="291"/>
      <c r="X52" s="291"/>
      <c r="Y52" s="291"/>
      <c r="Z52" s="291"/>
      <c r="AA52" s="291"/>
      <c r="AB52" s="291"/>
      <c r="AC52" s="290"/>
      <c r="AD52" s="291"/>
      <c r="AE52" s="291"/>
      <c r="AF52" s="291"/>
      <c r="AG52" s="291"/>
      <c r="AH52" s="291"/>
      <c r="AI52" s="291"/>
      <c r="AJ52" s="291"/>
      <c r="AK52" s="290"/>
      <c r="AL52" s="291"/>
      <c r="AM52" s="217"/>
      <c r="AO52" s="426"/>
      <c r="AP52" s="426" t="str">
        <f t="shared" si="1"/>
        <v>Добавить группу потребителей</v>
      </c>
      <c r="AQ52" s="426"/>
      <c r="AR52" s="426"/>
    </row>
    <row r="53" spans="1:44" ht="0" hidden="1" customHeight="1">
      <c r="A53" s="1281" t="s">
        <v>185</v>
      </c>
      <c r="B53" s="1281" t="s">
        <v>186</v>
      </c>
      <c r="C53" s="1281" t="s">
        <v>187</v>
      </c>
      <c r="D53" s="1281" t="s">
        <v>188</v>
      </c>
      <c r="E53" s="2077"/>
      <c r="F53" s="2077"/>
      <c r="G53" s="2077"/>
      <c r="H53" s="2076"/>
      <c r="I53" s="1281"/>
      <c r="J53" s="1281"/>
      <c r="K53" s="1281"/>
      <c r="L53" s="1282"/>
      <c r="M53" s="1283"/>
      <c r="N53" s="1283"/>
      <c r="O53" s="462"/>
      <c r="P53" s="281"/>
      <c r="Q53" s="299"/>
      <c r="R53" s="276"/>
      <c r="S53" s="1304"/>
      <c r="T53" s="1305"/>
      <c r="U53" s="1306"/>
      <c r="V53" s="1306"/>
      <c r="W53" s="1306"/>
      <c r="X53" s="1306"/>
      <c r="Y53" s="1306"/>
      <c r="Z53" s="1306"/>
      <c r="AA53" s="1306"/>
      <c r="AB53" s="1306"/>
      <c r="AC53" s="1306"/>
      <c r="AD53" s="1306"/>
      <c r="AE53" s="1306"/>
      <c r="AF53" s="1306"/>
      <c r="AG53" s="1306"/>
      <c r="AH53" s="1306"/>
      <c r="AI53" s="1306"/>
      <c r="AJ53" s="1306"/>
      <c r="AK53" s="1306"/>
      <c r="AL53" s="1306"/>
      <c r="AM53" s="1307"/>
      <c r="AO53" s="426"/>
      <c r="AP53" s="426" t="str">
        <f t="shared" si="1"/>
        <v/>
      </c>
      <c r="AQ53" s="426"/>
      <c r="AR53" s="426"/>
    </row>
    <row r="54" spans="1:44" s="1559" customFormat="1" ht="0.75" customHeight="1">
      <c r="A54" s="1262" t="s">
        <v>185</v>
      </c>
      <c r="B54" s="1262" t="s">
        <v>186</v>
      </c>
      <c r="C54" s="1262" t="s">
        <v>187</v>
      </c>
      <c r="D54" s="1234"/>
      <c r="E54" s="2077"/>
      <c r="F54" s="2077"/>
      <c r="G54" s="2076"/>
      <c r="H54" s="1234"/>
      <c r="I54" s="1234"/>
      <c r="J54" s="1234"/>
      <c r="K54" s="1234"/>
      <c r="L54" s="1258"/>
      <c r="M54" s="1235"/>
      <c r="N54" s="1235"/>
      <c r="P54" s="1236"/>
      <c r="Q54" s="1237"/>
      <c r="R54" s="1236"/>
      <c r="S54" s="1242"/>
      <c r="T54" s="1245" t="s">
        <v>433</v>
      </c>
      <c r="U54" s="1244"/>
      <c r="V54" s="1244"/>
      <c r="W54" s="1244"/>
      <c r="X54" s="1244"/>
      <c r="Y54" s="1244"/>
      <c r="Z54" s="1244"/>
      <c r="AA54" s="1244"/>
      <c r="AB54" s="1244"/>
      <c r="AC54" s="1244"/>
      <c r="AD54" s="1244"/>
      <c r="AE54" s="1244"/>
      <c r="AF54" s="1244"/>
      <c r="AG54" s="1244"/>
      <c r="AH54" s="1244"/>
      <c r="AI54" s="1244"/>
      <c r="AJ54" s="1244"/>
      <c r="AK54" s="1244"/>
      <c r="AL54" s="1244"/>
      <c r="AM54" s="1244"/>
      <c r="AO54" s="702"/>
      <c r="AP54" s="702" t="str">
        <f t="shared" si="1"/>
        <v>Добавить источник для дифференциации</v>
      </c>
      <c r="AQ54" s="702"/>
      <c r="AR54" s="702"/>
    </row>
    <row r="55" spans="1:44" s="1559" customFormat="1" ht="0.75" customHeight="1">
      <c r="A55" s="1262" t="s">
        <v>185</v>
      </c>
      <c r="B55" s="1262" t="s">
        <v>186</v>
      </c>
      <c r="C55" s="1234"/>
      <c r="D55" s="1234"/>
      <c r="E55" s="2077"/>
      <c r="F55" s="2076"/>
      <c r="G55" s="1234"/>
      <c r="H55" s="1234"/>
      <c r="I55" s="1234"/>
      <c r="J55" s="1234"/>
      <c r="K55" s="1234"/>
      <c r="L55" s="1258"/>
      <c r="M55" s="1241"/>
      <c r="N55" s="1241"/>
      <c r="P55" s="1236"/>
      <c r="Q55" s="1237"/>
      <c r="R55" s="1236"/>
      <c r="S55" s="1242"/>
      <c r="T55" s="1245" t="s">
        <v>434</v>
      </c>
      <c r="U55" s="1244"/>
      <c r="V55" s="1244"/>
      <c r="W55" s="1244"/>
      <c r="X55" s="1244"/>
      <c r="Y55" s="1244"/>
      <c r="Z55" s="1244"/>
      <c r="AA55" s="1244"/>
      <c r="AB55" s="1244"/>
      <c r="AC55" s="1244"/>
      <c r="AD55" s="1244"/>
      <c r="AE55" s="1244"/>
      <c r="AF55" s="1244"/>
      <c r="AG55" s="1244"/>
      <c r="AH55" s="1244"/>
      <c r="AI55" s="1244"/>
      <c r="AJ55" s="1244"/>
      <c r="AK55" s="1244"/>
      <c r="AL55" s="1244"/>
      <c r="AM55" s="1244"/>
      <c r="AO55" s="702"/>
      <c r="AP55" s="702" t="str">
        <f t="shared" si="1"/>
        <v>Добавить централизованную систему для дифференциации</v>
      </c>
      <c r="AQ55" s="702"/>
      <c r="AR55" s="702"/>
    </row>
    <row r="56" spans="1:44" s="1559" customFormat="1" ht="0.75" customHeight="1">
      <c r="A56" s="1262" t="s">
        <v>185</v>
      </c>
      <c r="B56" s="1262"/>
      <c r="C56" s="1262"/>
      <c r="D56" s="1262"/>
      <c r="E56" s="2076"/>
      <c r="F56" s="1262"/>
      <c r="G56" s="1262"/>
      <c r="H56" s="1262"/>
      <c r="I56" s="1262"/>
      <c r="J56" s="1262"/>
      <c r="K56" s="1262"/>
      <c r="L56" s="1265"/>
      <c r="M56" s="1241"/>
      <c r="N56" s="1241"/>
      <c r="O56" s="444"/>
      <c r="P56" s="308"/>
      <c r="Q56" s="1263"/>
      <c r="R56" s="308"/>
      <c r="S56" s="1242"/>
      <c r="T56" s="1245" t="s">
        <v>435</v>
      </c>
      <c r="U56" s="1244"/>
      <c r="V56" s="1244"/>
      <c r="W56" s="1244"/>
      <c r="X56" s="1244"/>
      <c r="Y56" s="1244"/>
      <c r="Z56" s="1244"/>
      <c r="AA56" s="1244"/>
      <c r="AB56" s="1244"/>
      <c r="AC56" s="1244"/>
      <c r="AD56" s="1244"/>
      <c r="AE56" s="1244"/>
      <c r="AF56" s="1244"/>
      <c r="AG56" s="1244"/>
      <c r="AH56" s="1244"/>
      <c r="AI56" s="1244"/>
      <c r="AJ56" s="1244"/>
      <c r="AK56" s="1244"/>
      <c r="AL56" s="1244"/>
      <c r="AM56" s="1244"/>
      <c r="AO56" s="426"/>
      <c r="AP56" s="426" t="str">
        <f t="shared" si="1"/>
        <v>Добавить территорию для дифференциации</v>
      </c>
      <c r="AQ56" s="426"/>
      <c r="AR56" s="426"/>
    </row>
    <row r="57" spans="1:44" s="1559" customFormat="1" ht="0.75" customHeight="1">
      <c r="A57" s="1234"/>
      <c r="B57" s="1234"/>
      <c r="C57" s="1234"/>
      <c r="D57" s="1234"/>
      <c r="E57" s="1262"/>
      <c r="F57" s="1234"/>
      <c r="G57" s="1234"/>
      <c r="H57" s="1234"/>
      <c r="I57" s="1234"/>
      <c r="J57" s="1234"/>
      <c r="K57" s="1234"/>
      <c r="L57" s="1258"/>
      <c r="M57" s="1241"/>
      <c r="N57" s="1241"/>
      <c r="P57" s="1236"/>
      <c r="Q57" s="1237"/>
      <c r="R57" s="1236"/>
      <c r="S57" s="1242"/>
      <c r="T57" s="1245" t="s">
        <v>436</v>
      </c>
      <c r="U57" s="1244"/>
      <c r="V57" s="1244"/>
      <c r="W57" s="1244"/>
      <c r="X57" s="1244"/>
      <c r="Y57" s="1244"/>
      <c r="Z57" s="1244"/>
      <c r="AA57" s="1244"/>
      <c r="AB57" s="1244"/>
      <c r="AC57" s="1244"/>
      <c r="AD57" s="1244"/>
      <c r="AE57" s="1244"/>
      <c r="AF57" s="1244"/>
      <c r="AG57" s="1244"/>
      <c r="AH57" s="1244"/>
      <c r="AI57" s="1244"/>
      <c r="AJ57" s="1244"/>
      <c r="AK57" s="1244"/>
      <c r="AL57" s="1244"/>
      <c r="AM57" s="1244"/>
      <c r="AO57" s="702"/>
      <c r="AP57" s="702" t="str">
        <f t="shared" si="1"/>
        <v>Добавить наименование тарифа</v>
      </c>
      <c r="AQ57" s="702"/>
      <c r="AR57" s="702"/>
    </row>
    <row r="58" spans="1:44" ht="11.25" hidden="1" customHeight="1">
      <c r="M58" s="1062"/>
      <c r="N58" s="1062"/>
      <c r="O58" s="462"/>
      <c r="P58" s="1057"/>
      <c r="Q58" s="1057"/>
      <c r="R58" s="1057"/>
      <c r="S58" s="1057"/>
      <c r="AN58" s="1057"/>
      <c r="AO58" s="1057"/>
      <c r="AP58" s="1057"/>
      <c r="AQ58" s="1057"/>
      <c r="AR58" s="1057"/>
    </row>
    <row r="59" spans="1:44" ht="21.75" hidden="1" customHeight="1">
      <c r="O59" s="462"/>
      <c r="S59" s="1166" t="s">
        <v>508</v>
      </c>
      <c r="T59" s="2075" t="s">
        <v>517</v>
      </c>
      <c r="U59" s="2075"/>
      <c r="V59" s="2075"/>
      <c r="W59" s="2075"/>
      <c r="X59" s="2075"/>
      <c r="Y59" s="2075"/>
      <c r="Z59" s="2075"/>
      <c r="AA59" s="2075"/>
      <c r="AB59" s="2075"/>
      <c r="AC59" s="2075"/>
      <c r="AD59" s="2075"/>
      <c r="AE59" s="2075"/>
      <c r="AF59" s="2075"/>
      <c r="AG59" s="2075"/>
      <c r="AH59" s="2075"/>
      <c r="AI59" s="2075"/>
      <c r="AJ59" s="2075"/>
      <c r="AK59" s="2075"/>
      <c r="AL59" s="2075"/>
      <c r="AM59" s="2075"/>
    </row>
    <row r="60" spans="1:44" ht="29.25" hidden="1" customHeight="1">
      <c r="O60" s="462"/>
      <c r="T60" s="2075" t="s">
        <v>518</v>
      </c>
      <c r="U60" s="2075"/>
      <c r="V60" s="2075"/>
      <c r="W60" s="2075"/>
      <c r="X60" s="2075"/>
      <c r="Y60" s="2075"/>
      <c r="Z60" s="2075"/>
      <c r="AA60" s="2075"/>
      <c r="AB60" s="2075"/>
      <c r="AC60" s="2075"/>
      <c r="AD60" s="2075"/>
      <c r="AE60" s="2075"/>
      <c r="AF60" s="2075"/>
      <c r="AG60" s="2075"/>
      <c r="AH60" s="2075"/>
      <c r="AI60" s="2075"/>
      <c r="AJ60" s="2075"/>
      <c r="AK60" s="2075"/>
      <c r="AL60" s="2075"/>
      <c r="AM60" s="2075"/>
    </row>
    <row r="61" spans="1:44" ht="39.75" hidden="1" customHeight="1">
      <c r="O61" s="462"/>
      <c r="T61" s="2075" t="s">
        <v>519</v>
      </c>
      <c r="U61" s="2075"/>
      <c r="V61" s="2075"/>
      <c r="W61" s="2075"/>
      <c r="X61" s="2075"/>
      <c r="Y61" s="2075"/>
      <c r="Z61" s="2075"/>
      <c r="AA61" s="2075"/>
      <c r="AB61" s="2075"/>
      <c r="AC61" s="2075"/>
      <c r="AD61" s="2075"/>
      <c r="AE61" s="2075"/>
      <c r="AF61" s="2075"/>
      <c r="AG61" s="2075"/>
      <c r="AH61" s="2075"/>
      <c r="AI61" s="2075"/>
      <c r="AJ61" s="2075"/>
      <c r="AK61" s="2075"/>
      <c r="AL61" s="2075"/>
      <c r="AM61" s="2075"/>
    </row>
    <row r="62" spans="1:44" ht="14.25" hidden="1" customHeight="1">
      <c r="O62" s="462"/>
    </row>
    <row r="63" spans="1:44" ht="19.5" hidden="1" customHeight="1">
      <c r="O63" s="462"/>
      <c r="S63" s="1166" t="s">
        <v>508</v>
      </c>
      <c r="T63" s="1914" t="s">
        <v>511</v>
      </c>
      <c r="U63" s="2075"/>
      <c r="V63" s="2075"/>
      <c r="W63" s="2075"/>
      <c r="X63" s="2075"/>
      <c r="Y63" s="2075"/>
      <c r="Z63" s="2075"/>
      <c r="AA63" s="2075"/>
      <c r="AB63" s="2075"/>
      <c r="AC63" s="2075"/>
      <c r="AD63" s="2075"/>
      <c r="AE63" s="2075"/>
      <c r="AF63" s="2075"/>
      <c r="AG63" s="2075"/>
      <c r="AH63" s="2075"/>
      <c r="AI63" s="2075"/>
      <c r="AJ63" s="2075"/>
      <c r="AK63" s="2075"/>
      <c r="AL63" s="2075"/>
      <c r="AM63" s="2075"/>
    </row>
    <row r="64" spans="1:44" ht="27.75" hidden="1" customHeight="1">
      <c r="O64" s="462"/>
      <c r="T64" s="2075" t="s">
        <v>520</v>
      </c>
      <c r="U64" s="2075"/>
      <c r="V64" s="2075"/>
      <c r="W64" s="2075"/>
      <c r="X64" s="2075"/>
      <c r="Y64" s="2075"/>
      <c r="Z64" s="2075"/>
      <c r="AA64" s="2075"/>
      <c r="AB64" s="2075"/>
      <c r="AC64" s="2075"/>
      <c r="AD64" s="2075"/>
      <c r="AE64" s="2075"/>
      <c r="AF64" s="2075"/>
      <c r="AG64" s="2075"/>
      <c r="AH64" s="2075"/>
      <c r="AI64" s="2075"/>
      <c r="AJ64" s="2075"/>
      <c r="AK64" s="2075"/>
      <c r="AL64" s="2075"/>
      <c r="AM64" s="2075"/>
    </row>
    <row r="65" spans="20:39" ht="33.75" hidden="1" customHeight="1">
      <c r="T65" s="2075" t="s">
        <v>521</v>
      </c>
      <c r="U65" s="2075"/>
      <c r="V65" s="2075"/>
      <c r="W65" s="2075"/>
      <c r="X65" s="2075"/>
      <c r="Y65" s="2075"/>
      <c r="Z65" s="2075"/>
      <c r="AA65" s="2075"/>
      <c r="AB65" s="2075"/>
      <c r="AC65" s="2075"/>
      <c r="AD65" s="2075"/>
      <c r="AE65" s="2075"/>
      <c r="AF65" s="2075"/>
      <c r="AG65" s="2075"/>
      <c r="AH65" s="2075"/>
      <c r="AI65" s="2075"/>
      <c r="AJ65" s="2075"/>
      <c r="AK65" s="2075"/>
      <c r="AL65" s="2075"/>
      <c r="AM65" s="2075"/>
    </row>
  </sheetData>
  <sheetProtection formatColumns="0" formatRows="0" insertRows="0" deleteColumns="0" deleteRows="0" sort="0" autoFilter="0"/>
  <mergeCells count="113">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 ref="AM8:AM10"/>
    <mergeCell ref="AH17:AH18"/>
    <mergeCell ref="AI17:AI18"/>
    <mergeCell ref="AJ17:AJ18"/>
    <mergeCell ref="AK17:AK18"/>
    <mergeCell ref="J7:J10"/>
    <mergeCell ref="Q7:Q10"/>
    <mergeCell ref="V7:AC7"/>
    <mergeCell ref="AD7:AL7"/>
    <mergeCell ref="K8:K9"/>
    <mergeCell ref="Z8:Z9"/>
    <mergeCell ref="AA8:AA9"/>
    <mergeCell ref="AB8:AB9"/>
    <mergeCell ref="AC8:AC9"/>
    <mergeCell ref="AH8:AH9"/>
    <mergeCell ref="AI8:AI9"/>
    <mergeCell ref="AJ8:AJ9"/>
    <mergeCell ref="AK8:AK9"/>
    <mergeCell ref="S30:T30"/>
    <mergeCell ref="V30:AB30"/>
    <mergeCell ref="AD30:AJ30"/>
    <mergeCell ref="S31:T31"/>
    <mergeCell ref="V31:AB31"/>
    <mergeCell ref="AD31:AJ31"/>
    <mergeCell ref="S26:AJ26"/>
    <mergeCell ref="S27:AJ27"/>
    <mergeCell ref="S29:T29"/>
    <mergeCell ref="V29:AB29"/>
    <mergeCell ref="AD29:AJ29"/>
    <mergeCell ref="S32:T32"/>
    <mergeCell ref="V32:AB32"/>
    <mergeCell ref="AD32:AJ32"/>
    <mergeCell ref="V37:AC37"/>
    <mergeCell ref="AD37:AK37"/>
    <mergeCell ref="S34:T34"/>
    <mergeCell ref="V34:AB34"/>
    <mergeCell ref="AD34:AJ34"/>
    <mergeCell ref="S35:T35"/>
    <mergeCell ref="V35:AB35"/>
    <mergeCell ref="AD35:AJ35"/>
    <mergeCell ref="AH40:AJ40"/>
    <mergeCell ref="AA41:AB41"/>
    <mergeCell ref="AI41:AJ41"/>
    <mergeCell ref="AA42:AB42"/>
    <mergeCell ref="AI42:AJ42"/>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E40:AE41"/>
    <mergeCell ref="AF40:AG4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V47:AC47"/>
    <mergeCell ref="AD47:AL47"/>
    <mergeCell ref="T63:AM63"/>
    <mergeCell ref="T64:AM64"/>
    <mergeCell ref="T65:AM65"/>
    <mergeCell ref="AM49:AM51"/>
    <mergeCell ref="T59:AM59"/>
    <mergeCell ref="T60:AM60"/>
    <mergeCell ref="T61:AM61"/>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49 AK524337 AK8 AK589873 AK655409 AK17 AK720945 AK786481 AK852017 AK917553 AK983089 AK65585 AK131121 AK458801 AK196657 AI49 AK262193 AI8 AC8 AA8 AI17 AK327729 AA49 AC49 AK393265"/>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Y50 AG18 AG50"/>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AR65"/>
  <sheetViews>
    <sheetView showGridLines="0" topLeftCell="Q25" zoomScale="90" workbookViewId="0"/>
  </sheetViews>
  <sheetFormatPr defaultColWidth="10.5703125" defaultRowHeight="14.25" customHeight="1"/>
  <cols>
    <col min="1" max="1" width="10.5703125" style="1284" hidden="1"/>
    <col min="2" max="2" width="11" style="1284" hidden="1" customWidth="1"/>
    <col min="3" max="3" width="10.5703125" style="1284" hidden="1"/>
    <col min="4" max="4" width="11.85546875" style="1284" hidden="1" customWidth="1"/>
    <col min="5" max="5" width="10" style="1284" hidden="1" customWidth="1"/>
    <col min="6" max="6" width="8.7109375" style="1284" hidden="1" customWidth="1"/>
    <col min="7" max="7" width="7.5703125" style="1284" hidden="1" customWidth="1"/>
    <col min="8" max="8" width="11.42578125" style="1284" hidden="1" customWidth="1"/>
    <col min="9" max="9" width="12" style="1284" hidden="1" customWidth="1"/>
    <col min="10" max="10" width="9.85546875" style="1284" hidden="1" customWidth="1"/>
    <col min="11" max="11" width="11.42578125" style="1284" hidden="1" customWidth="1"/>
    <col min="12" max="12" width="19.140625" style="1799" hidden="1" customWidth="1"/>
    <col min="13" max="14" width="12.28515625" style="1696" hidden="1" customWidth="1"/>
    <col min="15" max="15" width="23.42578125" style="1696" hidden="1" customWidth="1"/>
    <col min="16" max="16" width="3.7109375" style="1803" hidden="1" customWidth="1"/>
    <col min="17" max="18" width="3.7109375" style="265" customWidth="1"/>
    <col min="19" max="19" width="12.7109375" style="1806" customWidth="1"/>
    <col min="20" max="20" width="32" style="1552" customWidth="1"/>
    <col min="21" max="21" width="0.140625" style="1552" customWidth="1"/>
    <col min="22" max="22" width="24.7109375" style="1552" hidden="1" customWidth="1"/>
    <col min="23" max="23" width="0.140625" style="1552" hidden="1" customWidth="1"/>
    <col min="24" max="25" width="24.7109375" style="1552" hidden="1" customWidth="1"/>
    <col min="26" max="26" width="11.7109375" style="1552" hidden="1" customWidth="1"/>
    <col min="27" max="27" width="3.7109375" style="1552" hidden="1" customWidth="1"/>
    <col min="28" max="28" width="11.7109375" style="1552" hidden="1" customWidth="1"/>
    <col min="29" max="29" width="8.5703125" style="1552" hidden="1" customWidth="1"/>
    <col min="30" max="30" width="24.7109375" style="1552" customWidth="1"/>
    <col min="31" max="31" width="0.140625" style="1552" customWidth="1"/>
    <col min="32" max="33" width="24.7109375" style="1552" customWidth="1"/>
    <col min="34" max="34" width="11.7109375" style="1552" customWidth="1"/>
    <col min="35" max="35" width="3.7109375" style="1552" customWidth="1"/>
    <col min="36" max="36" width="11.7109375" style="1552" customWidth="1"/>
    <col min="37" max="37" width="8.5703125" style="1552" hidden="1" customWidth="1"/>
    <col min="38" max="38" width="4.7109375" style="1552" customWidth="1"/>
    <col min="39" max="39" width="115.7109375" style="1552" customWidth="1"/>
    <col min="40" max="41" width="10.5703125" style="1559"/>
    <col min="42" max="42" width="11.140625" style="1559" customWidth="1"/>
    <col min="43" max="44" width="10.5703125" style="1559"/>
  </cols>
  <sheetData>
    <row r="1" spans="1:44" ht="14.25" hidden="1" customHeight="1">
      <c r="Y1" s="249"/>
      <c r="Z1" s="249"/>
      <c r="AG1" s="249"/>
      <c r="AH1" s="249"/>
    </row>
    <row r="2" spans="1:44" ht="21" hidden="1" customHeight="1">
      <c r="A2" s="1281"/>
      <c r="B2" s="1281"/>
      <c r="C2" s="1281"/>
      <c r="D2" s="1281"/>
      <c r="E2" s="2076">
        <v>1</v>
      </c>
      <c r="F2" s="1281"/>
      <c r="G2" s="1281"/>
      <c r="H2" s="1281"/>
      <c r="I2" s="1281"/>
      <c r="J2" s="1281"/>
      <c r="K2" s="1281"/>
      <c r="L2" s="1282"/>
      <c r="M2" s="1283"/>
      <c r="N2" s="1283"/>
      <c r="O2" s="1283"/>
      <c r="P2" s="282"/>
      <c r="Q2" s="281"/>
      <c r="R2" s="276"/>
      <c r="S2" s="1255" t="e">
        <f>INDEX(PT_DIFFERENTIATION_NUM_NTAR,MATCH(A2,PT_DIFFERENTIATION_NTAR_ID,0))</f>
        <v>#N/A</v>
      </c>
      <c r="T2" s="212" t="s">
        <v>128</v>
      </c>
      <c r="U2" s="214"/>
      <c r="V2" s="2070"/>
      <c r="W2" s="2071"/>
      <c r="X2" s="2071"/>
      <c r="Y2" s="2071"/>
      <c r="Z2" s="2071"/>
      <c r="AA2" s="2071"/>
      <c r="AB2" s="2071"/>
      <c r="AC2" s="2072"/>
      <c r="AD2" s="2070" t="e">
        <f>INDEX(PT_DIFFERENTIATION_NTAR,MATCH(A2,PT_DIFFERENTIATION_NTAR_ID,0))</f>
        <v>#N/A</v>
      </c>
      <c r="AE2" s="2071"/>
      <c r="AF2" s="2071"/>
      <c r="AG2" s="2071"/>
      <c r="AH2" s="2071"/>
      <c r="AI2" s="2071"/>
      <c r="AJ2" s="2071"/>
      <c r="AK2" s="2071"/>
      <c r="AL2" s="2072"/>
      <c r="AM2" s="1179" t="s">
        <v>459</v>
      </c>
      <c r="AO2" s="426"/>
      <c r="AP2" s="426" t="str">
        <f t="shared" ref="AP2:AP15" si="0">IF(T2="","",T2)</f>
        <v>Наименование тарифа</v>
      </c>
      <c r="AQ2" s="426"/>
      <c r="AR2" s="426"/>
    </row>
    <row r="3" spans="1:44" ht="21" hidden="1" customHeight="1">
      <c r="A3" s="1281"/>
      <c r="B3" s="1281"/>
      <c r="C3" s="1281"/>
      <c r="D3" s="1281"/>
      <c r="E3" s="2077"/>
      <c r="F3" s="2076">
        <v>1</v>
      </c>
      <c r="G3" s="1281"/>
      <c r="H3" s="1281"/>
      <c r="I3" s="1281"/>
      <c r="J3" s="1281"/>
      <c r="K3" s="1281"/>
      <c r="L3" s="1282"/>
      <c r="M3" s="1283"/>
      <c r="N3" s="1283"/>
      <c r="O3" s="1283"/>
      <c r="P3" s="1251"/>
      <c r="Q3" s="273"/>
      <c r="R3" s="274"/>
      <c r="S3" s="1255" t="e">
        <f>INDEX(PT_DIFFERENTIATION_NUM_TER,MATCH(B3,PT_DIFFERENTIATION_TER_ID,0))</f>
        <v>#N/A</v>
      </c>
      <c r="T3" s="224" t="s">
        <v>460</v>
      </c>
      <c r="U3" s="214"/>
      <c r="V3" s="2070"/>
      <c r="W3" s="2071"/>
      <c r="X3" s="2071"/>
      <c r="Y3" s="2071"/>
      <c r="Z3" s="2071"/>
      <c r="AA3" s="2071"/>
      <c r="AB3" s="2071"/>
      <c r="AC3" s="2072"/>
      <c r="AD3" s="2070" t="e">
        <f>INDEX(PT_DIFFERENTIATION_TER,MATCH(B3,PT_DIFFERENTIATION_TER_ID,0))</f>
        <v>#N/A</v>
      </c>
      <c r="AE3" s="2071"/>
      <c r="AF3" s="2071"/>
      <c r="AG3" s="2071"/>
      <c r="AH3" s="2071"/>
      <c r="AI3" s="2071"/>
      <c r="AJ3" s="2071"/>
      <c r="AK3" s="2071"/>
      <c r="AL3" s="2072"/>
      <c r="AM3" s="1179" t="s">
        <v>461</v>
      </c>
      <c r="AO3" s="426"/>
      <c r="AP3" s="426" t="str">
        <f t="shared" si="0"/>
        <v>Территория действия тарифа</v>
      </c>
      <c r="AQ3" s="426"/>
      <c r="AR3" s="426"/>
    </row>
    <row r="4" spans="1:44" ht="23.25" hidden="1" customHeight="1">
      <c r="A4" s="1281"/>
      <c r="B4" s="1281"/>
      <c r="C4" s="1281"/>
      <c r="D4" s="1281"/>
      <c r="E4" s="2077"/>
      <c r="F4" s="2077"/>
      <c r="G4" s="2076">
        <v>1</v>
      </c>
      <c r="H4" s="1281"/>
      <c r="I4" s="1281"/>
      <c r="J4" s="1281"/>
      <c r="K4" s="1281"/>
      <c r="L4" s="1282"/>
      <c r="M4" s="1283"/>
      <c r="N4" s="1283"/>
      <c r="O4" s="1283"/>
      <c r="P4" s="275"/>
      <c r="Q4" s="273"/>
      <c r="R4" s="274"/>
      <c r="S4" s="1255" t="e">
        <f>INDEX(PT_DIFFERENTIATION_NUM_CS,MATCH(C4,PT_DIFFERENTIATION_CS_ID,0))</f>
        <v>#N/A</v>
      </c>
      <c r="T4" s="225" t="s">
        <v>462</v>
      </c>
      <c r="U4" s="214"/>
      <c r="V4" s="2070"/>
      <c r="W4" s="2071"/>
      <c r="X4" s="2071"/>
      <c r="Y4" s="2071"/>
      <c r="Z4" s="2071"/>
      <c r="AA4" s="2071"/>
      <c r="AB4" s="2071"/>
      <c r="AC4" s="2072"/>
      <c r="AD4" s="2070" t="e">
        <f>INDEX(PT_DIFFERENTIATION_CS,MATCH(C4,PT_DIFFERENTIATION_CS_ID,0))</f>
        <v>#N/A</v>
      </c>
      <c r="AE4" s="2071"/>
      <c r="AF4" s="2071"/>
      <c r="AG4" s="2071"/>
      <c r="AH4" s="2071"/>
      <c r="AI4" s="2071"/>
      <c r="AJ4" s="2071"/>
      <c r="AK4" s="2071"/>
      <c r="AL4" s="2072"/>
      <c r="AM4" s="1179" t="s">
        <v>463</v>
      </c>
      <c r="AO4" s="426"/>
      <c r="AP4" s="426" t="str">
        <f t="shared" si="0"/>
        <v xml:space="preserve">Наименование системы теплоснабжения </v>
      </c>
      <c r="AQ4" s="426"/>
      <c r="AR4" s="426"/>
    </row>
    <row r="5" spans="1:44" ht="21" hidden="1" customHeight="1">
      <c r="A5" s="1281"/>
      <c r="B5" s="1281"/>
      <c r="C5" s="1281"/>
      <c r="D5" s="1281"/>
      <c r="E5" s="2077"/>
      <c r="F5" s="2077"/>
      <c r="G5" s="2077"/>
      <c r="H5" s="2076">
        <v>1</v>
      </c>
      <c r="I5" s="1281"/>
      <c r="J5" s="1281"/>
      <c r="K5" s="1281"/>
      <c r="L5" s="1282"/>
      <c r="M5" s="1283"/>
      <c r="N5" s="1283"/>
      <c r="O5" s="1283"/>
      <c r="P5" s="275"/>
      <c r="Q5" s="273"/>
      <c r="R5" s="274"/>
      <c r="S5" s="1255" t="e">
        <f>INDEX(PT_DIFFERENTIATION_NUM_IST_TE,MATCH(D5,PT_DIFFERENTIATION_IST_TE_ID,0))</f>
        <v>#N/A</v>
      </c>
      <c r="T5" s="226" t="s">
        <v>464</v>
      </c>
      <c r="U5" s="214"/>
      <c r="V5" s="2070"/>
      <c r="W5" s="2071"/>
      <c r="X5" s="2071"/>
      <c r="Y5" s="2071"/>
      <c r="Z5" s="2071"/>
      <c r="AA5" s="2071"/>
      <c r="AB5" s="2071"/>
      <c r="AC5" s="2072"/>
      <c r="AD5" s="2070" t="e">
        <f>INDEX(PT_DIFFERENTIATION_IST_TE,MATCH(D5,PT_DIFFERENTIATION_IST_TE_ID,0))</f>
        <v>#N/A</v>
      </c>
      <c r="AE5" s="2071"/>
      <c r="AF5" s="2071"/>
      <c r="AG5" s="2071"/>
      <c r="AH5" s="2071"/>
      <c r="AI5" s="2071"/>
      <c r="AJ5" s="2071"/>
      <c r="AK5" s="2071"/>
      <c r="AL5" s="2072"/>
      <c r="AM5" s="1179" t="s">
        <v>465</v>
      </c>
      <c r="AO5" s="426"/>
      <c r="AP5" s="426" t="str">
        <f t="shared" si="0"/>
        <v xml:space="preserve">Источник тепловой энергии  </v>
      </c>
      <c r="AQ5" s="426"/>
      <c r="AR5" s="426"/>
    </row>
    <row r="6" spans="1:44" ht="14.25" hidden="1" customHeight="1">
      <c r="A6" s="1281"/>
      <c r="B6" s="1281"/>
      <c r="C6" s="1281"/>
      <c r="D6" s="1281"/>
      <c r="E6" s="2077"/>
      <c r="F6" s="2077"/>
      <c r="G6" s="2077"/>
      <c r="H6" s="2077"/>
      <c r="I6" s="2078" t="e">
        <f>S5&amp;".1"</f>
        <v>#N/A</v>
      </c>
      <c r="J6" s="1281"/>
      <c r="K6" s="1281"/>
      <c r="L6" s="1282" t="s">
        <v>466</v>
      </c>
      <c r="M6" s="462"/>
      <c r="P6" s="1995">
        <v>1</v>
      </c>
      <c r="Q6" s="1250"/>
      <c r="R6" s="277"/>
      <c r="S6" s="950"/>
      <c r="T6" s="1301"/>
      <c r="U6" s="1302"/>
      <c r="V6" s="2105"/>
      <c r="W6" s="2106"/>
      <c r="X6" s="2106"/>
      <c r="Y6" s="2106"/>
      <c r="Z6" s="2106"/>
      <c r="AA6" s="2106"/>
      <c r="AB6" s="2106"/>
      <c r="AC6" s="2107"/>
      <c r="AD6" s="2105"/>
      <c r="AE6" s="2106"/>
      <c r="AF6" s="2106"/>
      <c r="AG6" s="2106"/>
      <c r="AH6" s="2106"/>
      <c r="AI6" s="2106"/>
      <c r="AJ6" s="2106"/>
      <c r="AK6" s="2106"/>
      <c r="AL6" s="2107"/>
      <c r="AM6" s="1303"/>
      <c r="AO6" s="426"/>
      <c r="AP6" s="426" t="str">
        <f t="shared" si="0"/>
        <v/>
      </c>
      <c r="AQ6" s="426"/>
      <c r="AR6" s="426"/>
    </row>
    <row r="7" spans="1:44" ht="21" hidden="1" customHeight="1">
      <c r="A7" s="1281"/>
      <c r="B7" s="1281"/>
      <c r="C7" s="1281"/>
      <c r="D7" s="1281"/>
      <c r="E7" s="2077"/>
      <c r="F7" s="2077"/>
      <c r="G7" s="2077"/>
      <c r="H7" s="2077"/>
      <c r="I7" s="2079"/>
      <c r="J7" s="2078" t="e">
        <f>I6&amp;".1"</f>
        <v>#N/A</v>
      </c>
      <c r="K7" s="1281"/>
      <c r="L7" s="1282" t="s">
        <v>469</v>
      </c>
      <c r="M7" s="462"/>
      <c r="N7" s="1284"/>
      <c r="P7" s="1995"/>
      <c r="Q7" s="1995">
        <v>1</v>
      </c>
      <c r="R7" s="278"/>
      <c r="S7" s="1255" t="e">
        <f>$J7</f>
        <v>#N/A</v>
      </c>
      <c r="T7" s="201" t="s">
        <v>470</v>
      </c>
      <c r="U7" s="214"/>
      <c r="V7" s="2064"/>
      <c r="W7" s="2065"/>
      <c r="X7" s="2065"/>
      <c r="Y7" s="2065"/>
      <c r="Z7" s="2065"/>
      <c r="AA7" s="2065"/>
      <c r="AB7" s="2065"/>
      <c r="AC7" s="2066"/>
      <c r="AD7" s="2064"/>
      <c r="AE7" s="2065"/>
      <c r="AF7" s="2065"/>
      <c r="AG7" s="2065"/>
      <c r="AH7" s="2065"/>
      <c r="AI7" s="2065"/>
      <c r="AJ7" s="2065"/>
      <c r="AK7" s="2065"/>
      <c r="AL7" s="2066"/>
      <c r="AM7" s="1179" t="s">
        <v>471</v>
      </c>
      <c r="AO7" s="426"/>
      <c r="AP7" s="426" t="str">
        <f t="shared" si="0"/>
        <v>Группа потребителей</v>
      </c>
      <c r="AQ7" s="426"/>
      <c r="AR7" s="426"/>
    </row>
    <row r="8" spans="1:44" ht="21" hidden="1" customHeight="1">
      <c r="A8" s="1281"/>
      <c r="B8" s="1281"/>
      <c r="C8" s="1281"/>
      <c r="D8" s="1281"/>
      <c r="E8" s="2077"/>
      <c r="F8" s="2077"/>
      <c r="G8" s="2077"/>
      <c r="H8" s="2077"/>
      <c r="I8" s="2079"/>
      <c r="J8" s="2079"/>
      <c r="K8" s="2078" t="e">
        <f>J7&amp;".1"</f>
        <v>#N/A</v>
      </c>
      <c r="L8" s="1282" t="s">
        <v>472</v>
      </c>
      <c r="M8" s="462"/>
      <c r="N8" s="1284"/>
      <c r="O8" s="1284"/>
      <c r="P8" s="1995"/>
      <c r="Q8" s="1995"/>
      <c r="R8" s="278">
        <v>1</v>
      </c>
      <c r="S8" s="1255" t="e">
        <f>$K8</f>
        <v>#N/A</v>
      </c>
      <c r="T8" s="1266"/>
      <c r="U8" s="214"/>
      <c r="V8" s="664"/>
      <c r="W8" s="246"/>
      <c r="X8" s="664"/>
      <c r="Y8" s="1178"/>
      <c r="Z8" s="2080"/>
      <c r="AA8" s="1885" t="s">
        <v>59</v>
      </c>
      <c r="AB8" s="2080"/>
      <c r="AC8" s="1885" t="s">
        <v>59</v>
      </c>
      <c r="AD8" s="664"/>
      <c r="AE8" s="246"/>
      <c r="AF8" s="664"/>
      <c r="AG8" s="1178"/>
      <c r="AH8" s="2080"/>
      <c r="AI8" s="1885" t="s">
        <v>59</v>
      </c>
      <c r="AJ8" s="2080"/>
      <c r="AK8" s="1885" t="s">
        <v>59</v>
      </c>
      <c r="AL8" s="246"/>
      <c r="AM8" s="2098" t="s">
        <v>473</v>
      </c>
      <c r="AN8" s="437" t="e">
        <f ca="1">STRCHECKDATE(V9:AL9)</f>
        <v>#NAME?</v>
      </c>
      <c r="AO8" s="426"/>
      <c r="AP8" s="426" t="str">
        <f t="shared" si="0"/>
        <v/>
      </c>
      <c r="AQ8" s="426"/>
      <c r="AR8" s="426"/>
    </row>
    <row r="9" spans="1:44" ht="14.25" hidden="1" customHeight="1">
      <c r="A9" s="1281"/>
      <c r="B9" s="1281"/>
      <c r="C9" s="1281"/>
      <c r="D9" s="1281"/>
      <c r="E9" s="2077"/>
      <c r="F9" s="2077"/>
      <c r="G9" s="2077"/>
      <c r="H9" s="2077"/>
      <c r="I9" s="2079"/>
      <c r="J9" s="2079"/>
      <c r="K9" s="2078"/>
      <c r="L9" s="1282"/>
      <c r="M9" s="462"/>
      <c r="N9" s="1284"/>
      <c r="O9" s="1284"/>
      <c r="P9" s="1995"/>
      <c r="Q9" s="1995"/>
      <c r="R9" s="278"/>
      <c r="S9" s="1261"/>
      <c r="T9" s="214"/>
      <c r="U9" s="214"/>
      <c r="V9" s="246"/>
      <c r="W9" s="246"/>
      <c r="X9" s="246"/>
      <c r="Y9" s="250" t="str">
        <f>Z8&amp;"-"&amp;AB8</f>
        <v>-</v>
      </c>
      <c r="Z9" s="2081"/>
      <c r="AA9" s="1885"/>
      <c r="AB9" s="2081"/>
      <c r="AC9" s="1885"/>
      <c r="AD9" s="246"/>
      <c r="AE9" s="246"/>
      <c r="AF9" s="246"/>
      <c r="AG9" s="250" t="str">
        <f>AH8&amp;"-"&amp;AJ8</f>
        <v>-</v>
      </c>
      <c r="AH9" s="2081"/>
      <c r="AI9" s="1885"/>
      <c r="AJ9" s="2081"/>
      <c r="AK9" s="1885"/>
      <c r="AL9" s="246"/>
      <c r="AM9" s="2099"/>
      <c r="AO9" s="426"/>
      <c r="AP9" s="426" t="str">
        <f t="shared" si="0"/>
        <v/>
      </c>
      <c r="AQ9" s="426"/>
      <c r="AR9" s="426"/>
    </row>
    <row r="10" spans="1:44" ht="15" hidden="1" customHeight="1">
      <c r="A10" s="1281"/>
      <c r="B10" s="1281"/>
      <c r="C10" s="1281"/>
      <c r="D10" s="1281"/>
      <c r="E10" s="2077"/>
      <c r="F10" s="2077"/>
      <c r="G10" s="2077"/>
      <c r="H10" s="2077"/>
      <c r="I10" s="2079"/>
      <c r="J10" s="2078"/>
      <c r="K10" s="1281"/>
      <c r="L10" s="1282"/>
      <c r="M10" s="462"/>
      <c r="N10" s="1284"/>
      <c r="P10" s="1995"/>
      <c r="Q10" s="1995"/>
      <c r="R10" s="277"/>
      <c r="S10" s="1200"/>
      <c r="T10" s="202" t="s">
        <v>474</v>
      </c>
      <c r="U10" s="291"/>
      <c r="V10" s="291"/>
      <c r="W10" s="291"/>
      <c r="X10" s="291"/>
      <c r="Y10" s="291"/>
      <c r="Z10" s="291"/>
      <c r="AA10" s="291"/>
      <c r="AB10" s="291"/>
      <c r="AC10" s="291"/>
      <c r="AD10" s="291"/>
      <c r="AE10" s="291"/>
      <c r="AF10" s="291"/>
      <c r="AG10" s="291"/>
      <c r="AH10" s="291"/>
      <c r="AI10" s="291"/>
      <c r="AJ10" s="291"/>
      <c r="AK10" s="291"/>
      <c r="AL10" s="245"/>
      <c r="AM10" s="2100"/>
      <c r="AO10" s="426"/>
      <c r="AP10" s="426" t="str">
        <f t="shared" si="0"/>
        <v>Добавить вид теплоносителя (параметры теплоносителя)</v>
      </c>
      <c r="AQ10" s="426"/>
      <c r="AR10" s="426"/>
    </row>
    <row r="11" spans="1:44" ht="11.25" hidden="1" customHeight="1">
      <c r="A11" s="1281"/>
      <c r="B11" s="1281"/>
      <c r="C11" s="1281"/>
      <c r="D11" s="1281"/>
      <c r="E11" s="2077"/>
      <c r="F11" s="2077"/>
      <c r="G11" s="2077"/>
      <c r="H11" s="2077"/>
      <c r="I11" s="2078"/>
      <c r="J11" s="1281"/>
      <c r="K11" s="1281"/>
      <c r="L11" s="1282"/>
      <c r="M11" s="462"/>
      <c r="P11" s="1995"/>
      <c r="Q11" s="1250"/>
      <c r="R11" s="277"/>
      <c r="S11" s="1200"/>
      <c r="T11" s="288" t="s">
        <v>475</v>
      </c>
      <c r="U11" s="291"/>
      <c r="V11" s="291"/>
      <c r="W11" s="291"/>
      <c r="X11" s="291"/>
      <c r="Y11" s="291"/>
      <c r="Z11" s="291"/>
      <c r="AA11" s="291"/>
      <c r="AB11" s="291"/>
      <c r="AC11" s="290"/>
      <c r="AD11" s="291"/>
      <c r="AE11" s="291"/>
      <c r="AF11" s="291"/>
      <c r="AG11" s="291"/>
      <c r="AH11" s="291"/>
      <c r="AI11" s="291"/>
      <c r="AJ11" s="291"/>
      <c r="AK11" s="290"/>
      <c r="AL11" s="291"/>
      <c r="AM11" s="217"/>
      <c r="AO11" s="426"/>
      <c r="AP11" s="426" t="str">
        <f t="shared" si="0"/>
        <v>Добавить группу потребителей</v>
      </c>
      <c r="AQ11" s="426"/>
      <c r="AR11" s="426"/>
    </row>
    <row r="12" spans="1:44" ht="14.25" hidden="1" customHeight="1">
      <c r="A12" s="1281"/>
      <c r="B12" s="1281"/>
      <c r="C12" s="1281"/>
      <c r="D12" s="1281"/>
      <c r="E12" s="2077"/>
      <c r="F12" s="2077"/>
      <c r="G12" s="2077"/>
      <c r="H12" s="2076"/>
      <c r="I12" s="1281"/>
      <c r="J12" s="1281"/>
      <c r="K12" s="1281"/>
      <c r="L12" s="1282"/>
      <c r="M12" s="1283"/>
      <c r="N12" s="1283"/>
      <c r="O12" s="462"/>
      <c r="P12" s="281"/>
      <c r="Q12" s="299"/>
      <c r="R12" s="276"/>
      <c r="S12" s="1304"/>
      <c r="T12" s="1305"/>
      <c r="U12" s="1306"/>
      <c r="V12" s="1306"/>
      <c r="W12" s="1306"/>
      <c r="X12" s="1306"/>
      <c r="Y12" s="1306"/>
      <c r="Z12" s="1306"/>
      <c r="AA12" s="1306"/>
      <c r="AB12" s="1306"/>
      <c r="AC12" s="1306"/>
      <c r="AD12" s="1306"/>
      <c r="AE12" s="1306"/>
      <c r="AF12" s="1306"/>
      <c r="AG12" s="1306"/>
      <c r="AH12" s="1306"/>
      <c r="AI12" s="1306"/>
      <c r="AJ12" s="1306"/>
      <c r="AK12" s="1306"/>
      <c r="AL12" s="1306"/>
      <c r="AM12" s="1307"/>
      <c r="AO12" s="426"/>
      <c r="AP12" s="426" t="str">
        <f t="shared" si="0"/>
        <v/>
      </c>
      <c r="AQ12" s="426"/>
      <c r="AR12" s="426"/>
    </row>
    <row r="13" spans="1:44" s="1559" customFormat="1" ht="14.25" hidden="1" customHeight="1">
      <c r="A13" s="1234"/>
      <c r="B13" s="1234"/>
      <c r="C13" s="1234"/>
      <c r="D13" s="1234"/>
      <c r="E13" s="2077"/>
      <c r="F13" s="2077"/>
      <c r="G13" s="2076"/>
      <c r="H13" s="1234"/>
      <c r="I13" s="1234"/>
      <c r="J13" s="1234"/>
      <c r="K13" s="1234"/>
      <c r="L13" s="1258"/>
      <c r="M13" s="1235"/>
      <c r="N13" s="1235"/>
      <c r="P13" s="1236"/>
      <c r="Q13" s="1237"/>
      <c r="R13" s="1236"/>
      <c r="S13" s="1238"/>
      <c r="T13" s="1239" t="s">
        <v>433</v>
      </c>
      <c r="U13" s="1240"/>
      <c r="V13" s="1240"/>
      <c r="W13" s="1240"/>
      <c r="X13" s="1240"/>
      <c r="Y13" s="1240"/>
      <c r="Z13" s="1240"/>
      <c r="AA13" s="1240"/>
      <c r="AB13" s="1240"/>
      <c r="AC13" s="1240"/>
      <c r="AD13" s="1240"/>
      <c r="AE13" s="1240"/>
      <c r="AF13" s="1240"/>
      <c r="AG13" s="1240"/>
      <c r="AH13" s="1240"/>
      <c r="AI13" s="1240"/>
      <c r="AJ13" s="1240"/>
      <c r="AK13" s="1240"/>
      <c r="AL13" s="1240"/>
      <c r="AM13" s="1240"/>
      <c r="AO13" s="702"/>
      <c r="AP13" s="702" t="str">
        <f t="shared" si="0"/>
        <v>Добавить источник для дифференциации</v>
      </c>
      <c r="AQ13" s="702"/>
      <c r="AR13" s="702"/>
    </row>
    <row r="14" spans="1:44" s="1559" customFormat="1" ht="14.25" hidden="1" customHeight="1">
      <c r="A14" s="1234"/>
      <c r="B14" s="1234"/>
      <c r="C14" s="1234"/>
      <c r="D14" s="1234"/>
      <c r="E14" s="2077"/>
      <c r="F14" s="2076"/>
      <c r="G14" s="1234"/>
      <c r="H14" s="1234"/>
      <c r="I14" s="1234"/>
      <c r="J14" s="1234"/>
      <c r="K14" s="1234"/>
      <c r="L14" s="1258"/>
      <c r="M14" s="1241"/>
      <c r="N14" s="1241"/>
      <c r="P14" s="1236"/>
      <c r="Q14" s="1237"/>
      <c r="R14" s="1236"/>
      <c r="S14" s="1242"/>
      <c r="T14" s="1243" t="s">
        <v>434</v>
      </c>
      <c r="U14" s="1244"/>
      <c r="V14" s="1244"/>
      <c r="W14" s="1244"/>
      <c r="X14" s="1244"/>
      <c r="Y14" s="1244"/>
      <c r="Z14" s="1244"/>
      <c r="AA14" s="1244"/>
      <c r="AB14" s="1244"/>
      <c r="AC14" s="1244"/>
      <c r="AD14" s="1244"/>
      <c r="AE14" s="1244"/>
      <c r="AF14" s="1244"/>
      <c r="AG14" s="1244"/>
      <c r="AH14" s="1244"/>
      <c r="AI14" s="1244"/>
      <c r="AJ14" s="1244"/>
      <c r="AK14" s="1244"/>
      <c r="AL14" s="1244"/>
      <c r="AM14" s="1244"/>
      <c r="AO14" s="702"/>
      <c r="AP14" s="702" t="str">
        <f t="shared" si="0"/>
        <v>Добавить централизованную систему для дифференциации</v>
      </c>
      <c r="AQ14" s="702"/>
      <c r="AR14" s="702"/>
    </row>
    <row r="15" spans="1:44" s="1559" customFormat="1" ht="14.25" hidden="1" customHeight="1">
      <c r="A15" s="1234"/>
      <c r="B15" s="1234"/>
      <c r="C15" s="1234"/>
      <c r="D15" s="1234"/>
      <c r="E15" s="2076"/>
      <c r="F15" s="1234"/>
      <c r="G15" s="1234"/>
      <c r="H15" s="1234"/>
      <c r="I15" s="1234"/>
      <c r="J15" s="1234"/>
      <c r="K15" s="1234"/>
      <c r="L15" s="1258"/>
      <c r="M15" s="1241"/>
      <c r="N15" s="1241"/>
      <c r="P15" s="1236"/>
      <c r="Q15" s="1237"/>
      <c r="R15" s="1236"/>
      <c r="S15" s="1242"/>
      <c r="T15" s="1245" t="s">
        <v>435</v>
      </c>
      <c r="U15" s="1244"/>
      <c r="V15" s="1244"/>
      <c r="W15" s="1244"/>
      <c r="X15" s="1244"/>
      <c r="Y15" s="1244"/>
      <c r="Z15" s="1244"/>
      <c r="AA15" s="1244"/>
      <c r="AB15" s="1244"/>
      <c r="AC15" s="1244"/>
      <c r="AD15" s="1244"/>
      <c r="AE15" s="1244"/>
      <c r="AF15" s="1244"/>
      <c r="AG15" s="1244"/>
      <c r="AH15" s="1244"/>
      <c r="AI15" s="1244"/>
      <c r="AJ15" s="1244"/>
      <c r="AK15" s="1244"/>
      <c r="AL15" s="1244"/>
      <c r="AM15" s="1244"/>
      <c r="AO15" s="702"/>
      <c r="AP15" s="702" t="str">
        <f t="shared" si="0"/>
        <v>Добавить территорию для дифференциации</v>
      </c>
      <c r="AQ15" s="702"/>
      <c r="AR15" s="702"/>
    </row>
    <row r="16" spans="1:44" ht="14.25" hidden="1" customHeight="1">
      <c r="AC16" s="249"/>
      <c r="AK16" s="249"/>
    </row>
    <row r="17" spans="1:44" ht="14.25" hidden="1" customHeight="1">
      <c r="AD17" s="1278"/>
      <c r="AE17" s="1278"/>
      <c r="AF17" s="1278"/>
      <c r="AG17" s="1279"/>
      <c r="AH17" s="2074"/>
      <c r="AI17" s="2073" t="s">
        <v>59</v>
      </c>
      <c r="AJ17" s="2074"/>
      <c r="AK17" s="2073" t="s">
        <v>59</v>
      </c>
    </row>
    <row r="18" spans="1:44" ht="14.25" hidden="1" customHeight="1">
      <c r="AD18" s="1278"/>
      <c r="AE18" s="1278"/>
      <c r="AF18" s="1278"/>
      <c r="AG18" s="250" t="str">
        <f>AH17&amp;"-"&amp;AJ17</f>
        <v>-</v>
      </c>
      <c r="AH18" s="2073"/>
      <c r="AI18" s="2073"/>
      <c r="AJ18" s="2073"/>
      <c r="AK18" s="2073"/>
    </row>
    <row r="19" spans="1:44" ht="14.25" hidden="1" customHeight="1">
      <c r="AK19" s="249"/>
    </row>
    <row r="20" spans="1:44" s="1284" customFormat="1" ht="22.5" hidden="1" customHeight="1">
      <c r="L20" s="1248"/>
      <c r="M20" s="1280"/>
      <c r="N20" s="1280"/>
      <c r="O20" s="1285" t="s">
        <v>477</v>
      </c>
      <c r="P20" s="1280"/>
      <c r="Q20" s="1289"/>
      <c r="R20" s="1289"/>
      <c r="S20" s="645"/>
      <c r="Z20" s="1285"/>
      <c r="AB20" s="1285"/>
      <c r="AH20" s="1285"/>
      <c r="AJ20" s="1285"/>
      <c r="AN20" s="437"/>
      <c r="AO20" s="437"/>
      <c r="AP20" s="437"/>
      <c r="AQ20" s="437"/>
      <c r="AR20" s="437"/>
    </row>
    <row r="21" spans="1:44" s="1284" customFormat="1" ht="14.25" hidden="1" customHeight="1">
      <c r="L21" s="1248"/>
      <c r="M21" s="1280"/>
      <c r="N21" s="1280"/>
      <c r="O21" s="1280"/>
      <c r="P21" s="1280"/>
      <c r="Q21" s="1289"/>
      <c r="R21" s="1289"/>
      <c r="S21" s="645"/>
      <c r="AN21" s="437"/>
      <c r="AO21" s="437"/>
      <c r="AP21" s="437"/>
      <c r="AQ21" s="437"/>
      <c r="AR21" s="437"/>
    </row>
    <row r="22" spans="1:44" s="1284" customFormat="1" ht="14.25" hidden="1" customHeight="1">
      <c r="L22" s="1248"/>
      <c r="M22" s="1280"/>
      <c r="N22" s="1280"/>
      <c r="O22" s="1282" t="s">
        <v>478</v>
      </c>
      <c r="P22" s="1280"/>
      <c r="Q22" s="1289"/>
      <c r="R22" s="1289"/>
      <c r="S22" s="645"/>
      <c r="T22" s="1062" t="s">
        <v>479</v>
      </c>
      <c r="AA22" s="104" t="s">
        <v>480</v>
      </c>
      <c r="AC22" s="104" t="s">
        <v>481</v>
      </c>
      <c r="AD22" s="1062" t="s">
        <v>479</v>
      </c>
      <c r="AI22" s="104" t="s">
        <v>482</v>
      </c>
      <c r="AK22" s="104" t="s">
        <v>481</v>
      </c>
      <c r="AN22" s="437"/>
      <c r="AO22" s="437"/>
      <c r="AP22" s="437"/>
      <c r="AQ22" s="437"/>
      <c r="AR22" s="437"/>
    </row>
    <row r="23" spans="1:44" ht="14.25" hidden="1" customHeight="1">
      <c r="O23" s="1282"/>
    </row>
    <row r="24" spans="1:44" ht="14.25" hidden="1" customHeight="1">
      <c r="O24" s="1282"/>
    </row>
    <row r="25" spans="1:44" ht="14.25" customHeight="1">
      <c r="Q25" s="300"/>
      <c r="R25" s="300"/>
      <c r="S25" s="1197"/>
      <c r="T25" s="286"/>
      <c r="U25" s="286"/>
      <c r="V25" s="435"/>
      <c r="W25" s="435"/>
      <c r="X25" s="435"/>
      <c r="Y25" s="435"/>
      <c r="Z25" s="435"/>
      <c r="AA25" s="435"/>
      <c r="AB25" s="435"/>
      <c r="AC25" s="435"/>
      <c r="AD25" s="435"/>
      <c r="AE25" s="435"/>
      <c r="AF25" s="435"/>
      <c r="AG25" s="435"/>
      <c r="AH25" s="435"/>
      <c r="AI25" s="435"/>
      <c r="AJ25" s="435"/>
      <c r="AK25" s="435"/>
    </row>
    <row r="26" spans="1:44" ht="64.5" customHeight="1">
      <c r="Q26" s="300"/>
      <c r="R26" s="300"/>
      <c r="S26" s="2101"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101"/>
      <c r="U26" s="2101"/>
      <c r="V26" s="2101"/>
      <c r="W26" s="2101"/>
      <c r="X26" s="2101"/>
      <c r="Y26" s="2101"/>
      <c r="Z26" s="2101"/>
      <c r="AA26" s="2101"/>
      <c r="AB26" s="2101"/>
      <c r="AC26" s="2101"/>
      <c r="AD26" s="2101"/>
      <c r="AE26" s="2101"/>
      <c r="AF26" s="2101"/>
      <c r="AG26" s="2101"/>
      <c r="AH26" s="2101"/>
      <c r="AI26" s="2101"/>
      <c r="AJ26" s="2101"/>
      <c r="AK26" s="1154"/>
    </row>
    <row r="27" spans="1:44" ht="14.25" customHeight="1">
      <c r="Q27" s="300"/>
      <c r="R27" s="300"/>
      <c r="S27" s="1961" t="str">
        <f>IF(org=0,"Не определено",org)</f>
        <v>АО СЗ "КМАпроектжилстрой"</v>
      </c>
      <c r="T27" s="1961"/>
      <c r="U27" s="1961"/>
      <c r="V27" s="1961"/>
      <c r="W27" s="1961"/>
      <c r="X27" s="1961"/>
      <c r="Y27" s="1961"/>
      <c r="Z27" s="1961"/>
      <c r="AA27" s="1961"/>
      <c r="AB27" s="1961"/>
      <c r="AC27" s="1961"/>
      <c r="AD27" s="1961"/>
      <c r="AE27" s="1961"/>
      <c r="AF27" s="1961"/>
      <c r="AG27" s="1961"/>
      <c r="AH27" s="1961"/>
      <c r="AI27" s="1961"/>
      <c r="AJ27" s="1961"/>
      <c r="AK27" s="1154"/>
    </row>
    <row r="28" spans="1:44" ht="14.25" hidden="1" customHeight="1">
      <c r="Q28" s="300"/>
      <c r="R28" s="300"/>
      <c r="S28" s="1197"/>
      <c r="T28" s="286"/>
      <c r="U28" s="286"/>
      <c r="V28" s="242"/>
      <c r="W28" s="242"/>
      <c r="X28" s="242"/>
      <c r="Y28" s="242"/>
      <c r="Z28" s="242"/>
      <c r="AA28" s="242"/>
      <c r="AB28" s="242"/>
      <c r="AC28" s="242"/>
      <c r="AD28" s="242"/>
      <c r="AE28" s="242"/>
      <c r="AF28" s="242"/>
      <c r="AG28" s="242"/>
      <c r="AH28" s="242"/>
      <c r="AI28" s="242"/>
      <c r="AJ28" s="242"/>
      <c r="AK28" s="242"/>
      <c r="AL28" s="435"/>
    </row>
    <row r="29" spans="1:44" s="1773" customFormat="1" ht="25.5" hidden="1" customHeight="1">
      <c r="A29" s="1286"/>
      <c r="B29" s="1286"/>
      <c r="C29" s="1286"/>
      <c r="D29" s="1286"/>
      <c r="E29" s="1286"/>
      <c r="F29" s="1286"/>
      <c r="G29" s="1286"/>
      <c r="H29" s="1286"/>
      <c r="I29" s="1286"/>
      <c r="J29" s="1286"/>
      <c r="K29" s="1286"/>
      <c r="L29" s="1287"/>
      <c r="M29" s="1286"/>
      <c r="N29" s="1286"/>
      <c r="O29" s="1286"/>
      <c r="S29" s="2067" t="s">
        <v>40</v>
      </c>
      <c r="T29" s="2067"/>
      <c r="U29" s="1290"/>
      <c r="V29" s="2069" t="str">
        <f>IF(TITLE_NAME_OR_PR_CHANGE="",IF(TITLE_NAME_OR_PR="","",TITLE_NAME_OR_PR),TITLE_NAME_OR_PR_CHANGE)</f>
        <v/>
      </c>
      <c r="W29" s="2069"/>
      <c r="X29" s="2069"/>
      <c r="Y29" s="2069"/>
      <c r="Z29" s="2069"/>
      <c r="AA29" s="2069"/>
      <c r="AB29" s="2069"/>
      <c r="AC29" s="248"/>
      <c r="AD29" s="2069" t="str">
        <f>IF(TITLE_NAME_OR_PR_CHANGE="",IF(TITLE_NAME_OR_PR="","",TITLE_NAME_OR_PR),TITLE_NAME_OR_PR_CHANGE)</f>
        <v/>
      </c>
      <c r="AE29" s="2069"/>
      <c r="AF29" s="2069"/>
      <c r="AG29" s="2069"/>
      <c r="AH29" s="2069"/>
      <c r="AI29" s="2069"/>
      <c r="AJ29" s="2069"/>
      <c r="AK29" s="248"/>
      <c r="AL29" s="248"/>
      <c r="AM29" s="196"/>
      <c r="AN29" s="292"/>
      <c r="AO29" s="292"/>
      <c r="AP29" s="292"/>
      <c r="AQ29" s="292"/>
      <c r="AR29" s="292"/>
    </row>
    <row r="30" spans="1:44" s="1773" customFormat="1" ht="18.75" hidden="1" customHeight="1">
      <c r="A30" s="1286"/>
      <c r="B30" s="1286"/>
      <c r="C30" s="1286"/>
      <c r="D30" s="1286"/>
      <c r="E30" s="1286"/>
      <c r="F30" s="1286"/>
      <c r="G30" s="1286"/>
      <c r="H30" s="1286"/>
      <c r="I30" s="1286"/>
      <c r="J30" s="1286"/>
      <c r="K30" s="1286"/>
      <c r="L30" s="1287"/>
      <c r="M30" s="1286"/>
      <c r="N30" s="1286"/>
      <c r="O30" s="1286"/>
      <c r="S30" s="2067" t="s">
        <v>483</v>
      </c>
      <c r="T30" s="2067"/>
      <c r="U30" s="1290"/>
      <c r="V30" s="2068" t="str">
        <f>IF(TITLE_DATE_CHANGE_PERIOD="",IF(TITLE_DATE_PR="","",TITLE_DATE_PR),TITLE_DATE_CHANGE_PERIOD)</f>
        <v/>
      </c>
      <c r="W30" s="2068"/>
      <c r="X30" s="2068"/>
      <c r="Y30" s="2068"/>
      <c r="Z30" s="2068"/>
      <c r="AA30" s="2068"/>
      <c r="AB30" s="2068"/>
      <c r="AC30" s="248"/>
      <c r="AD30" s="2068" t="str">
        <f>IF(TITLE_DATE_CHANGE_PERIOD="",IF(TITLE_DATE_PR="","",TITLE_DATE_PR),TITLE_DATE_CHANGE_PERIOD)</f>
        <v/>
      </c>
      <c r="AE30" s="2068"/>
      <c r="AF30" s="2068"/>
      <c r="AG30" s="2068"/>
      <c r="AH30" s="2068"/>
      <c r="AI30" s="2068"/>
      <c r="AJ30" s="2068"/>
      <c r="AK30" s="248"/>
      <c r="AL30" s="248"/>
      <c r="AM30" s="196"/>
      <c r="AN30" s="292"/>
      <c r="AO30" s="292"/>
      <c r="AP30" s="292"/>
      <c r="AQ30" s="292"/>
      <c r="AR30" s="292"/>
    </row>
    <row r="31" spans="1:44" s="1773" customFormat="1" ht="18.75" hidden="1" customHeight="1">
      <c r="A31" s="1286"/>
      <c r="B31" s="1286"/>
      <c r="C31" s="1286"/>
      <c r="D31" s="1286"/>
      <c r="E31" s="1286"/>
      <c r="F31" s="1286"/>
      <c r="G31" s="1286"/>
      <c r="H31" s="1286"/>
      <c r="I31" s="1286"/>
      <c r="J31" s="1286"/>
      <c r="K31" s="1286"/>
      <c r="L31" s="1287"/>
      <c r="M31" s="1286"/>
      <c r="N31" s="1286"/>
      <c r="O31" s="1286"/>
      <c r="S31" s="2067" t="s">
        <v>484</v>
      </c>
      <c r="T31" s="2067"/>
      <c r="U31" s="1290"/>
      <c r="V31" s="2069" t="str">
        <f>IF(TITLE_NUMBER_PR_CHANGE="",IF(TITLE_NUMBER_PR="","",TITLE_NUMBER_PR),TITLE_NUMBER_PR_CHANGE)</f>
        <v/>
      </c>
      <c r="W31" s="2069"/>
      <c r="X31" s="2069"/>
      <c r="Y31" s="2069"/>
      <c r="Z31" s="2069"/>
      <c r="AA31" s="2069"/>
      <c r="AB31" s="2069"/>
      <c r="AC31" s="248"/>
      <c r="AD31" s="2069" t="str">
        <f>IF(TITLE_NUMBER_PR_CHANGE="",IF(TITLE_NUMBER_PR="","",TITLE_NUMBER_PR),TITLE_NUMBER_PR_CHANGE)</f>
        <v/>
      </c>
      <c r="AE31" s="2069"/>
      <c r="AF31" s="2069"/>
      <c r="AG31" s="2069"/>
      <c r="AH31" s="2069"/>
      <c r="AI31" s="2069"/>
      <c r="AJ31" s="2069"/>
      <c r="AK31" s="248"/>
      <c r="AL31" s="248"/>
      <c r="AM31" s="196"/>
      <c r="AN31" s="292"/>
      <c r="AO31" s="292"/>
      <c r="AP31" s="292"/>
      <c r="AQ31" s="292"/>
      <c r="AR31" s="292"/>
    </row>
    <row r="32" spans="1:44" s="1773" customFormat="1" ht="18.75" hidden="1" customHeight="1">
      <c r="A32" s="1286"/>
      <c r="B32" s="1286"/>
      <c r="C32" s="1286"/>
      <c r="D32" s="1286"/>
      <c r="E32" s="1286"/>
      <c r="F32" s="1286"/>
      <c r="G32" s="1286"/>
      <c r="H32" s="1286"/>
      <c r="I32" s="1286"/>
      <c r="J32" s="1286"/>
      <c r="K32" s="1286"/>
      <c r="L32" s="1287"/>
      <c r="M32" s="1286"/>
      <c r="N32" s="1286"/>
      <c r="O32" s="1286"/>
      <c r="S32" s="2067" t="s">
        <v>41</v>
      </c>
      <c r="T32" s="2067"/>
      <c r="U32" s="1290"/>
      <c r="V32" s="2069" t="str">
        <f>IF(TITLE_IST_PUB_CHANGE="",IF(TITLE_IST_PUB="","",TITLE_IST_PUB),TITLE_IST_PUB_CHANGE)</f>
        <v/>
      </c>
      <c r="W32" s="2069"/>
      <c r="X32" s="2069"/>
      <c r="Y32" s="2069"/>
      <c r="Z32" s="2069"/>
      <c r="AA32" s="2069"/>
      <c r="AB32" s="2069"/>
      <c r="AC32" s="248"/>
      <c r="AD32" s="2069" t="str">
        <f>IF(TITLE_IST_PUB_CHANGE="",IF(TITLE_IST_PUB="","",TITLE_IST_PUB),TITLE_IST_PUB_CHANGE)</f>
        <v/>
      </c>
      <c r="AE32" s="2069"/>
      <c r="AF32" s="2069"/>
      <c r="AG32" s="2069"/>
      <c r="AH32" s="2069"/>
      <c r="AI32" s="2069"/>
      <c r="AJ32" s="2069"/>
      <c r="AK32" s="248"/>
      <c r="AL32" s="248"/>
      <c r="AM32" s="196"/>
      <c r="AN32" s="292"/>
      <c r="AO32" s="292"/>
      <c r="AP32" s="292"/>
      <c r="AQ32" s="292"/>
      <c r="AR32" s="292"/>
    </row>
    <row r="33" spans="1:44" ht="14.25" hidden="1" customHeight="1">
      <c r="Q33" s="300"/>
      <c r="R33" s="300"/>
      <c r="S33" s="1197"/>
      <c r="T33" s="286"/>
      <c r="U33" s="286"/>
      <c r="V33" s="242"/>
      <c r="W33" s="242"/>
      <c r="X33" s="242"/>
      <c r="Y33" s="242"/>
      <c r="Z33" s="242"/>
      <c r="AA33" s="242"/>
      <c r="AB33" s="242"/>
      <c r="AC33" s="242"/>
      <c r="AD33" s="242"/>
      <c r="AE33" s="242"/>
      <c r="AF33" s="242"/>
      <c r="AG33" s="242"/>
      <c r="AH33" s="242"/>
      <c r="AI33" s="242"/>
      <c r="AJ33" s="242"/>
      <c r="AK33" s="242"/>
      <c r="AL33" s="435"/>
    </row>
    <row r="34" spans="1:44" s="1773" customFormat="1" ht="18.75" hidden="1" customHeight="1">
      <c r="A34" s="1286"/>
      <c r="B34" s="1286"/>
      <c r="C34" s="1286"/>
      <c r="D34" s="1286"/>
      <c r="E34" s="1286"/>
      <c r="F34" s="1286"/>
      <c r="G34" s="1286"/>
      <c r="H34" s="1286"/>
      <c r="I34" s="1286"/>
      <c r="J34" s="1286"/>
      <c r="K34" s="1286"/>
      <c r="L34" s="1287"/>
      <c r="M34" s="1286"/>
      <c r="N34" s="1286"/>
      <c r="O34" s="1286"/>
      <c r="S34" s="2067" t="s">
        <v>485</v>
      </c>
      <c r="T34" s="2067"/>
      <c r="U34" s="1290"/>
      <c r="V34" s="2068" t="str">
        <f>IF(TITLE_DATE_CHANGE_PERIOD="",IF(TITLE_DATE_PR="","",TITLE_DATE_PR),TITLE_DATE_CHANGE_PERIOD)</f>
        <v/>
      </c>
      <c r="W34" s="2068"/>
      <c r="X34" s="2068"/>
      <c r="Y34" s="2068"/>
      <c r="Z34" s="2068"/>
      <c r="AA34" s="2068"/>
      <c r="AB34" s="2068"/>
      <c r="AC34" s="248"/>
      <c r="AD34" s="2068" t="str">
        <f>IF(TITLE_DATE_CHANGE_PERIOD="",IF(TITLE_DATE_PR="","",TITLE_DATE_PR),TITLE_DATE_CHANGE_PERIOD)</f>
        <v/>
      </c>
      <c r="AE34" s="2068"/>
      <c r="AF34" s="2068"/>
      <c r="AG34" s="2068"/>
      <c r="AH34" s="2068"/>
      <c r="AI34" s="2068"/>
      <c r="AJ34" s="2068"/>
      <c r="AK34" s="248"/>
      <c r="AL34" s="248"/>
      <c r="AM34" s="196"/>
      <c r="AN34" s="292"/>
      <c r="AO34" s="292"/>
      <c r="AP34" s="292"/>
      <c r="AQ34" s="292"/>
      <c r="AR34" s="292"/>
    </row>
    <row r="35" spans="1:44" s="1773" customFormat="1" ht="25.5" hidden="1" customHeight="1">
      <c r="A35" s="1286"/>
      <c r="B35" s="1286"/>
      <c r="C35" s="1286"/>
      <c r="D35" s="1286"/>
      <c r="E35" s="1286"/>
      <c r="F35" s="1286"/>
      <c r="G35" s="1286"/>
      <c r="H35" s="1286"/>
      <c r="I35" s="1286"/>
      <c r="J35" s="1286"/>
      <c r="K35" s="1286"/>
      <c r="L35" s="1287"/>
      <c r="M35" s="1286"/>
      <c r="N35" s="1286"/>
      <c r="O35" s="1286"/>
      <c r="S35" s="2067" t="s">
        <v>486</v>
      </c>
      <c r="T35" s="2067"/>
      <c r="U35" s="1290"/>
      <c r="V35" s="2069" t="str">
        <f>IF(TITLE_NUMBER_PR_CHANGE="",IF(TITLE_NUMBER_PR="","",TITLE_NUMBER_PR),TITLE_NUMBER_PR_CHANGE)</f>
        <v/>
      </c>
      <c r="W35" s="2069"/>
      <c r="X35" s="2069"/>
      <c r="Y35" s="2069"/>
      <c r="Z35" s="2069"/>
      <c r="AA35" s="2069"/>
      <c r="AB35" s="2069"/>
      <c r="AC35" s="248"/>
      <c r="AD35" s="2069" t="str">
        <f>IF(TITLE_NUMBER_PR_CHANGE="",IF(TITLE_NUMBER_PR="","",TITLE_NUMBER_PR),TITLE_NUMBER_PR_CHANGE)</f>
        <v/>
      </c>
      <c r="AE35" s="2069"/>
      <c r="AF35" s="2069"/>
      <c r="AG35" s="2069"/>
      <c r="AH35" s="2069"/>
      <c r="AI35" s="2069"/>
      <c r="AJ35" s="2069"/>
      <c r="AK35" s="248"/>
      <c r="AL35" s="248"/>
      <c r="AM35" s="196"/>
      <c r="AN35" s="292"/>
      <c r="AO35" s="292"/>
      <c r="AP35" s="292"/>
      <c r="AQ35" s="292"/>
      <c r="AR35" s="292"/>
    </row>
    <row r="36" spans="1:44" s="1773" customFormat="1" ht="0" hidden="1" customHeight="1">
      <c r="A36" s="1286"/>
      <c r="B36" s="1286"/>
      <c r="C36" s="1286"/>
      <c r="D36" s="1286"/>
      <c r="E36" s="1286"/>
      <c r="F36" s="1286"/>
      <c r="G36" s="1286"/>
      <c r="H36" s="1286"/>
      <c r="I36" s="1286"/>
      <c r="J36" s="1286"/>
      <c r="K36" s="1286"/>
      <c r="L36" s="1287"/>
      <c r="M36" s="1286"/>
      <c r="N36" s="1286"/>
      <c r="O36" s="1286"/>
      <c r="S36" s="244"/>
      <c r="T36" s="244"/>
      <c r="U36" s="1259"/>
      <c r="V36" s="248"/>
      <c r="W36" s="248"/>
      <c r="X36" s="248"/>
      <c r="Y36" s="248"/>
      <c r="Z36" s="248"/>
      <c r="AA36" s="248"/>
      <c r="AB36" s="248"/>
      <c r="AC36" s="194" t="s">
        <v>487</v>
      </c>
      <c r="AD36" s="248"/>
      <c r="AE36" s="248"/>
      <c r="AF36" s="248"/>
      <c r="AG36" s="248"/>
      <c r="AH36" s="248"/>
      <c r="AI36" s="248"/>
      <c r="AJ36" s="248"/>
      <c r="AK36" s="194" t="s">
        <v>487</v>
      </c>
      <c r="AN36" s="292"/>
      <c r="AO36" s="292"/>
      <c r="AP36" s="292"/>
      <c r="AQ36" s="292"/>
      <c r="AR36" s="292"/>
    </row>
    <row r="37" spans="1:44" ht="14.25" customHeight="1">
      <c r="Q37" s="300"/>
      <c r="R37" s="300"/>
      <c r="S37" s="1197"/>
      <c r="T37" s="286"/>
      <c r="U37" s="1155"/>
      <c r="V37" s="2087"/>
      <c r="W37" s="2087"/>
      <c r="X37" s="2087"/>
      <c r="Y37" s="2087"/>
      <c r="Z37" s="2087"/>
      <c r="AA37" s="2087"/>
      <c r="AB37" s="2087"/>
      <c r="AC37" s="2087"/>
      <c r="AD37" s="2087"/>
      <c r="AE37" s="2087"/>
      <c r="AF37" s="2087"/>
      <c r="AG37" s="2087"/>
      <c r="AH37" s="2087"/>
      <c r="AI37" s="2087"/>
      <c r="AJ37" s="2087"/>
      <c r="AK37" s="2087"/>
    </row>
    <row r="38" spans="1:44" ht="14.25" customHeight="1">
      <c r="Q38" s="300"/>
      <c r="R38" s="300"/>
      <c r="S38" s="1874" t="s">
        <v>291</v>
      </c>
      <c r="T38" s="1874"/>
      <c r="U38" s="1874"/>
      <c r="V38" s="1874"/>
      <c r="W38" s="1874"/>
      <c r="X38" s="1874"/>
      <c r="Y38" s="1874"/>
      <c r="Z38" s="1874"/>
      <c r="AA38" s="1874"/>
      <c r="AB38" s="1874"/>
      <c r="AC38" s="1874"/>
      <c r="AD38" s="1874"/>
      <c r="AE38" s="1874"/>
      <c r="AF38" s="1874"/>
      <c r="AG38" s="1874"/>
      <c r="AH38" s="1874"/>
      <c r="AI38" s="1874"/>
      <c r="AJ38" s="1874"/>
      <c r="AK38" s="1874"/>
      <c r="AL38" s="1874"/>
      <c r="AM38" s="1874" t="s">
        <v>292</v>
      </c>
    </row>
    <row r="39" spans="1:44" ht="14.25" customHeight="1">
      <c r="Q39" s="300"/>
      <c r="R39" s="300"/>
      <c r="S39" s="2088" t="s">
        <v>88</v>
      </c>
      <c r="T39" s="1959" t="s">
        <v>488</v>
      </c>
      <c r="U39" s="215"/>
      <c r="V39" s="2089" t="s">
        <v>489</v>
      </c>
      <c r="W39" s="2090"/>
      <c r="X39" s="2090"/>
      <c r="Y39" s="2090"/>
      <c r="Z39" s="2090"/>
      <c r="AA39" s="2090"/>
      <c r="AB39" s="2091"/>
      <c r="AC39" s="2092" t="s">
        <v>490</v>
      </c>
      <c r="AD39" s="2089" t="s">
        <v>489</v>
      </c>
      <c r="AE39" s="2090"/>
      <c r="AF39" s="2090"/>
      <c r="AG39" s="2090"/>
      <c r="AH39" s="2090"/>
      <c r="AI39" s="2090"/>
      <c r="AJ39" s="2091"/>
      <c r="AK39" s="2092" t="s">
        <v>491</v>
      </c>
      <c r="AL39" s="2095" t="s">
        <v>492</v>
      </c>
      <c r="AM39" s="1874"/>
    </row>
    <row r="40" spans="1:44" ht="33.75" customHeight="1">
      <c r="Q40" s="300"/>
      <c r="R40" s="300"/>
      <c r="S40" s="2088"/>
      <c r="T40" s="1959"/>
      <c r="U40" s="939"/>
      <c r="V40" s="1928" t="s">
        <v>493</v>
      </c>
      <c r="W40" s="2084"/>
      <c r="X40" s="1856" t="s">
        <v>495</v>
      </c>
      <c r="Y40" s="1855"/>
      <c r="Z40" s="1856" t="s">
        <v>496</v>
      </c>
      <c r="AA40" s="1861"/>
      <c r="AB40" s="1855"/>
      <c r="AC40" s="2093"/>
      <c r="AD40" s="1928" t="s">
        <v>493</v>
      </c>
      <c r="AE40" s="2084"/>
      <c r="AF40" s="1856" t="s">
        <v>495</v>
      </c>
      <c r="AG40" s="1855"/>
      <c r="AH40" s="1856" t="s">
        <v>496</v>
      </c>
      <c r="AI40" s="1861"/>
      <c r="AJ40" s="1855"/>
      <c r="AK40" s="2093"/>
      <c r="AL40" s="2096"/>
      <c r="AM40" s="1874"/>
    </row>
    <row r="41" spans="1:44" ht="33.75" customHeight="1">
      <c r="A41" s="1288"/>
      <c r="B41" s="1288" t="s">
        <v>140</v>
      </c>
      <c r="C41" s="1288" t="s">
        <v>141</v>
      </c>
      <c r="D41" s="1288" t="s">
        <v>142</v>
      </c>
      <c r="E41" s="1282" t="s">
        <v>497</v>
      </c>
      <c r="F41" s="1282" t="s">
        <v>498</v>
      </c>
      <c r="G41" s="1282" t="s">
        <v>499</v>
      </c>
      <c r="H41" s="1282" t="s">
        <v>500</v>
      </c>
      <c r="I41" s="1282" t="s">
        <v>501</v>
      </c>
      <c r="J41" s="1282" t="s">
        <v>502</v>
      </c>
      <c r="K41" s="1282" t="s">
        <v>503</v>
      </c>
      <c r="L41" s="1282" t="s">
        <v>478</v>
      </c>
      <c r="Q41" s="300"/>
      <c r="R41" s="300"/>
      <c r="S41" s="2088"/>
      <c r="T41" s="1959"/>
      <c r="U41" s="216"/>
      <c r="V41" s="1984"/>
      <c r="W41" s="2085"/>
      <c r="X41" s="1130" t="s">
        <v>504</v>
      </c>
      <c r="Y41" s="1130" t="s">
        <v>505</v>
      </c>
      <c r="Z41" s="1257" t="s">
        <v>506</v>
      </c>
      <c r="AA41" s="1965" t="s">
        <v>507</v>
      </c>
      <c r="AB41" s="1979"/>
      <c r="AC41" s="2094"/>
      <c r="AD41" s="1984"/>
      <c r="AE41" s="2085"/>
      <c r="AF41" s="1130" t="s">
        <v>504</v>
      </c>
      <c r="AG41" s="1130" t="s">
        <v>505</v>
      </c>
      <c r="AH41" s="1257" t="s">
        <v>506</v>
      </c>
      <c r="AI41" s="1965" t="s">
        <v>507</v>
      </c>
      <c r="AJ41" s="1979"/>
      <c r="AK41" s="2094"/>
      <c r="AL41" s="2097"/>
      <c r="AM41" s="1874"/>
    </row>
    <row r="42" spans="1:44" s="1558" customFormat="1" ht="11.25" hidden="1" customHeight="1">
      <c r="A42" s="1288"/>
      <c r="B42" s="1288"/>
      <c r="C42" s="1288"/>
      <c r="D42" s="1288"/>
      <c r="E42" s="1288"/>
      <c r="F42" s="1288"/>
      <c r="G42" s="1288"/>
      <c r="H42" s="1288"/>
      <c r="I42" s="1288"/>
      <c r="J42" s="1288"/>
      <c r="K42" s="1288"/>
      <c r="L42" s="1282"/>
      <c r="M42" s="1280"/>
      <c r="N42" s="1280"/>
      <c r="O42" s="1280"/>
      <c r="P42" s="1157"/>
      <c r="Q42" s="1158"/>
      <c r="R42" s="1173">
        <v>1</v>
      </c>
      <c r="S42" s="1199" t="s">
        <v>109</v>
      </c>
      <c r="T42" s="1174" t="s">
        <v>110</v>
      </c>
      <c r="U42" s="1156" t="str">
        <f ca="1">OFFSET(U42,0,-1)</f>
        <v>2</v>
      </c>
      <c r="V42" s="1254">
        <f ca="1">OFFSET(V42,0,-1)+1</f>
        <v>3</v>
      </c>
      <c r="W42" s="1254"/>
      <c r="X42" s="1254">
        <f ca="1">OFFSET(X42,0,-1)+1</f>
        <v>1</v>
      </c>
      <c r="Y42" s="1254">
        <f ca="1">OFFSET(Y42,0,-1)+1</f>
        <v>2</v>
      </c>
      <c r="Z42" s="1254">
        <f ca="1">OFFSET(Z42,0,-1)+1</f>
        <v>3</v>
      </c>
      <c r="AA42" s="2086">
        <f ca="1">OFFSET(AA42,0,-1)+1</f>
        <v>4</v>
      </c>
      <c r="AB42" s="2086"/>
      <c r="AC42" s="1254">
        <f ca="1">OFFSET(AC42,0,-2)+1</f>
        <v>5</v>
      </c>
      <c r="AD42" s="1254">
        <f ca="1">OFFSET(AD42,0,-1)+1</f>
        <v>6</v>
      </c>
      <c r="AE42" s="1254"/>
      <c r="AF42" s="1254">
        <f ca="1">OFFSET(AF42,0,-1)+1</f>
        <v>1</v>
      </c>
      <c r="AG42" s="1254">
        <f ca="1">OFFSET(AG42,0,-1)+1</f>
        <v>2</v>
      </c>
      <c r="AH42" s="1254">
        <f ca="1">OFFSET(AH42,0,-1)+1</f>
        <v>3</v>
      </c>
      <c r="AI42" s="2086">
        <f ca="1">OFFSET(AI42,0,-1)+1</f>
        <v>4</v>
      </c>
      <c r="AJ42" s="2086"/>
      <c r="AK42" s="1254">
        <f ca="1">OFFSET(AK42,0,-2)+1</f>
        <v>5</v>
      </c>
      <c r="AL42" s="1156">
        <f ca="1">OFFSET(AL42,0,-1)</f>
        <v>5</v>
      </c>
      <c r="AM42" s="1254">
        <f ca="1">OFFSET(AM42,0,-1)+1</f>
        <v>6</v>
      </c>
      <c r="AN42" s="437"/>
      <c r="AO42" s="437"/>
      <c r="AP42" s="437"/>
      <c r="AQ42" s="437"/>
      <c r="AR42" s="437"/>
    </row>
    <row r="43" spans="1:44" ht="21" customHeight="1">
      <c r="A43" s="1281" t="s">
        <v>191</v>
      </c>
      <c r="B43" s="1281"/>
      <c r="C43" s="1281"/>
      <c r="D43" s="1281"/>
      <c r="E43" s="2076">
        <v>1</v>
      </c>
      <c r="F43" s="1281"/>
      <c r="G43" s="1281"/>
      <c r="H43" s="1281"/>
      <c r="I43" s="1281"/>
      <c r="J43" s="1281"/>
      <c r="K43" s="1281"/>
      <c r="L43" s="1282"/>
      <c r="M43" s="1283"/>
      <c r="N43" s="1283"/>
      <c r="O43" s="1283"/>
      <c r="P43" s="282"/>
      <c r="Q43" s="281"/>
      <c r="R43" s="276"/>
      <c r="S43" s="1255">
        <f>INDEX(PT_DIFFERENTIATION_NUM_NTAR,MATCH(A43,PT_DIFFERENTIATION_NTAR_ID,0))</f>
        <v>0</v>
      </c>
      <c r="T43" s="212" t="s">
        <v>128</v>
      </c>
      <c r="U43" s="214"/>
      <c r="V43" s="2070"/>
      <c r="W43" s="2071"/>
      <c r="X43" s="2071"/>
      <c r="Y43" s="2071"/>
      <c r="Z43" s="2071"/>
      <c r="AA43" s="2071"/>
      <c r="AB43" s="2071"/>
      <c r="AC43" s="2072"/>
      <c r="AD43" s="2070" t="str">
        <f>INDEX(PT_DIFFERENTIATION_NTAR,MATCH(A43,PT_DIFFERENTIATION_NTAR_ID,0))</f>
        <v/>
      </c>
      <c r="AE43" s="2071"/>
      <c r="AF43" s="2071"/>
      <c r="AG43" s="2071"/>
      <c r="AH43" s="2071"/>
      <c r="AI43" s="2071"/>
      <c r="AJ43" s="2071"/>
      <c r="AK43" s="2071"/>
      <c r="AL43" s="2072"/>
      <c r="AM43" s="1179"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426"/>
      <c r="AP43" s="426" t="str">
        <f t="shared" ref="AP43:AP57" si="1">IF(T43="","",T43)</f>
        <v>Наименование тарифа</v>
      </c>
      <c r="AQ43" s="426"/>
      <c r="AR43" s="426"/>
    </row>
    <row r="44" spans="1:44" ht="21" customHeight="1">
      <c r="A44" s="1281" t="s">
        <v>191</v>
      </c>
      <c r="B44" s="1281" t="s">
        <v>192</v>
      </c>
      <c r="C44" s="1281"/>
      <c r="D44" s="1281"/>
      <c r="E44" s="2077"/>
      <c r="F44" s="2076">
        <v>1</v>
      </c>
      <c r="G44" s="1281"/>
      <c r="H44" s="1281"/>
      <c r="I44" s="1281"/>
      <c r="J44" s="1281"/>
      <c r="K44" s="1281"/>
      <c r="L44" s="1282"/>
      <c r="M44" s="1283"/>
      <c r="N44" s="1283"/>
      <c r="O44" s="1283"/>
      <c r="P44" s="1251"/>
      <c r="Q44" s="273"/>
      <c r="R44" s="274"/>
      <c r="S44" s="1255" t="str">
        <f>INDEX(PT_DIFFERENTIATION_NUM_TER,MATCH(B44,PT_DIFFERENTIATION_TER_ID,0))</f>
        <v>.</v>
      </c>
      <c r="T44" s="224" t="s">
        <v>460</v>
      </c>
      <c r="U44" s="214"/>
      <c r="V44" s="2070"/>
      <c r="W44" s="2071"/>
      <c r="X44" s="2071"/>
      <c r="Y44" s="2071"/>
      <c r="Z44" s="2071"/>
      <c r="AA44" s="2071"/>
      <c r="AB44" s="2071"/>
      <c r="AC44" s="2072"/>
      <c r="AD44" s="2070" t="str">
        <f>INDEX(PT_DIFFERENTIATION_TER,MATCH(B44,PT_DIFFERENTIATION_TER_ID,0))</f>
        <v/>
      </c>
      <c r="AE44" s="2071"/>
      <c r="AF44" s="2071"/>
      <c r="AG44" s="2071"/>
      <c r="AH44" s="2071"/>
      <c r="AI44" s="2071"/>
      <c r="AJ44" s="2071"/>
      <c r="AK44" s="2071"/>
      <c r="AL44" s="2072"/>
      <c r="AM44" s="1179" t="s">
        <v>461</v>
      </c>
      <c r="AO44" s="426"/>
      <c r="AP44" s="426" t="str">
        <f t="shared" si="1"/>
        <v>Территория действия тарифа</v>
      </c>
      <c r="AQ44" s="426"/>
      <c r="AR44" s="426"/>
    </row>
    <row r="45" spans="1:44" ht="23.25" customHeight="1">
      <c r="A45" s="1281" t="s">
        <v>191</v>
      </c>
      <c r="B45" s="1281" t="s">
        <v>192</v>
      </c>
      <c r="C45" s="1281" t="s">
        <v>193</v>
      </c>
      <c r="D45" s="1281"/>
      <c r="E45" s="2077"/>
      <c r="F45" s="2077"/>
      <c r="G45" s="2076">
        <v>1</v>
      </c>
      <c r="H45" s="1281"/>
      <c r="I45" s="1281"/>
      <c r="J45" s="1281"/>
      <c r="K45" s="1281"/>
      <c r="L45" s="1282"/>
      <c r="M45" s="1283"/>
      <c r="N45" s="1283"/>
      <c r="O45" s="1283"/>
      <c r="P45" s="275"/>
      <c r="Q45" s="273"/>
      <c r="R45" s="274"/>
      <c r="S45" s="1255" t="str">
        <f>INDEX(PT_DIFFERENTIATION_NUM_CS,MATCH(C45,PT_DIFFERENTIATION_CS_ID,0))</f>
        <v>..</v>
      </c>
      <c r="T45" s="225" t="s">
        <v>462</v>
      </c>
      <c r="U45" s="214"/>
      <c r="V45" s="2070"/>
      <c r="W45" s="2071"/>
      <c r="X45" s="2071"/>
      <c r="Y45" s="2071"/>
      <c r="Z45" s="2071"/>
      <c r="AA45" s="2071"/>
      <c r="AB45" s="2071"/>
      <c r="AC45" s="2072"/>
      <c r="AD45" s="2070" t="str">
        <f>INDEX(PT_DIFFERENTIATION_CS,MATCH(C45,PT_DIFFERENTIATION_CS_ID,0))</f>
        <v/>
      </c>
      <c r="AE45" s="2071"/>
      <c r="AF45" s="2071"/>
      <c r="AG45" s="2071"/>
      <c r="AH45" s="2071"/>
      <c r="AI45" s="2071"/>
      <c r="AJ45" s="2071"/>
      <c r="AK45" s="2071"/>
      <c r="AL45" s="2072"/>
      <c r="AM45" s="1179" t="s">
        <v>463</v>
      </c>
      <c r="AO45" s="426"/>
      <c r="AP45" s="426" t="str">
        <f t="shared" si="1"/>
        <v xml:space="preserve">Наименование системы теплоснабжения </v>
      </c>
      <c r="AQ45" s="426"/>
      <c r="AR45" s="426"/>
    </row>
    <row r="46" spans="1:44" ht="21" customHeight="1">
      <c r="A46" s="1281" t="s">
        <v>191</v>
      </c>
      <c r="B46" s="1281" t="s">
        <v>192</v>
      </c>
      <c r="C46" s="1281" t="s">
        <v>193</v>
      </c>
      <c r="D46" s="1281" t="s">
        <v>194</v>
      </c>
      <c r="E46" s="2077"/>
      <c r="F46" s="2077"/>
      <c r="G46" s="2077"/>
      <c r="H46" s="2076">
        <v>1</v>
      </c>
      <c r="I46" s="1281"/>
      <c r="J46" s="1281"/>
      <c r="K46" s="1281"/>
      <c r="L46" s="1282"/>
      <c r="M46" s="1283"/>
      <c r="N46" s="1283"/>
      <c r="O46" s="1283"/>
      <c r="P46" s="275"/>
      <c r="Q46" s="273"/>
      <c r="R46" s="274"/>
      <c r="S46" s="1255" t="str">
        <f>INDEX(PT_DIFFERENTIATION_NUM_IST_TE,MATCH(D46,PT_DIFFERENTIATION_IST_TE_ID,0))</f>
        <v>...</v>
      </c>
      <c r="T46" s="226" t="s">
        <v>464</v>
      </c>
      <c r="U46" s="214"/>
      <c r="V46" s="2070"/>
      <c r="W46" s="2071"/>
      <c r="X46" s="2071"/>
      <c r="Y46" s="2071"/>
      <c r="Z46" s="2071"/>
      <c r="AA46" s="2071"/>
      <c r="AB46" s="2071"/>
      <c r="AC46" s="2072"/>
      <c r="AD46" s="2070" t="str">
        <f>INDEX(PT_DIFFERENTIATION_IST_TE,MATCH(D46,PT_DIFFERENTIATION_IST_TE_ID,0))</f>
        <v/>
      </c>
      <c r="AE46" s="2071"/>
      <c r="AF46" s="2071"/>
      <c r="AG46" s="2071"/>
      <c r="AH46" s="2071"/>
      <c r="AI46" s="2071"/>
      <c r="AJ46" s="2071"/>
      <c r="AK46" s="2071"/>
      <c r="AL46" s="2072"/>
      <c r="AM46" s="1179" t="s">
        <v>465</v>
      </c>
      <c r="AO46" s="426"/>
      <c r="AP46" s="426" t="str">
        <f t="shared" si="1"/>
        <v xml:space="preserve">Источник тепловой энергии  </v>
      </c>
      <c r="AQ46" s="426"/>
      <c r="AR46" s="426"/>
    </row>
    <row r="47" spans="1:44" s="1559" customFormat="1" ht="0" hidden="1" customHeight="1">
      <c r="A47" s="1262" t="s">
        <v>191</v>
      </c>
      <c r="B47" s="1262" t="s">
        <v>192</v>
      </c>
      <c r="C47" s="1262" t="s">
        <v>193</v>
      </c>
      <c r="D47" s="1262" t="s">
        <v>194</v>
      </c>
      <c r="E47" s="2077"/>
      <c r="F47" s="2077"/>
      <c r="G47" s="2077"/>
      <c r="H47" s="2077"/>
      <c r="I47" s="2078" t="str">
        <f>S46&amp;".1"</f>
        <v>....1</v>
      </c>
      <c r="J47" s="1262"/>
      <c r="K47" s="1262"/>
      <c r="L47" s="1265" t="s">
        <v>466</v>
      </c>
      <c r="M47" s="436"/>
      <c r="N47" s="436"/>
      <c r="O47" s="436"/>
      <c r="P47" s="1995">
        <v>1</v>
      </c>
      <c r="Q47" s="1250"/>
      <c r="R47" s="277"/>
      <c r="S47" s="950"/>
      <c r="T47" s="1301"/>
      <c r="U47" s="1302"/>
      <c r="V47" s="2105"/>
      <c r="W47" s="2106"/>
      <c r="X47" s="2106"/>
      <c r="Y47" s="2106"/>
      <c r="Z47" s="2106"/>
      <c r="AA47" s="2106"/>
      <c r="AB47" s="2106"/>
      <c r="AC47" s="2107"/>
      <c r="AD47" s="2105"/>
      <c r="AE47" s="2106"/>
      <c r="AF47" s="2106"/>
      <c r="AG47" s="2106"/>
      <c r="AH47" s="2106"/>
      <c r="AI47" s="2106"/>
      <c r="AJ47" s="2106"/>
      <c r="AK47" s="2106"/>
      <c r="AL47" s="2107"/>
      <c r="AM47" s="1303"/>
      <c r="AO47" s="426"/>
      <c r="AP47" s="426" t="str">
        <f t="shared" si="1"/>
        <v/>
      </c>
      <c r="AQ47" s="426"/>
      <c r="AR47" s="426"/>
    </row>
    <row r="48" spans="1:44" ht="21" customHeight="1">
      <c r="A48" s="1281" t="s">
        <v>191</v>
      </c>
      <c r="B48" s="1281" t="s">
        <v>192</v>
      </c>
      <c r="C48" s="1281" t="s">
        <v>193</v>
      </c>
      <c r="D48" s="1281" t="s">
        <v>194</v>
      </c>
      <c r="E48" s="2077"/>
      <c r="F48" s="2077"/>
      <c r="G48" s="2077"/>
      <c r="H48" s="2077"/>
      <c r="I48" s="2079"/>
      <c r="J48" s="2078" t="str">
        <f>S46&amp;".1"</f>
        <v>....1</v>
      </c>
      <c r="K48" s="1281"/>
      <c r="L48" s="1282" t="s">
        <v>469</v>
      </c>
      <c r="P48" s="1995"/>
      <c r="Q48" s="1995">
        <v>1</v>
      </c>
      <c r="R48" s="278"/>
      <c r="S48" s="1255" t="str">
        <f>$J48</f>
        <v>....1</v>
      </c>
      <c r="T48" s="201" t="s">
        <v>470</v>
      </c>
      <c r="U48" s="214"/>
      <c r="V48" s="2064"/>
      <c r="W48" s="2065"/>
      <c r="X48" s="2065"/>
      <c r="Y48" s="2065"/>
      <c r="Z48" s="2065"/>
      <c r="AA48" s="2065"/>
      <c r="AB48" s="2065"/>
      <c r="AC48" s="2066"/>
      <c r="AD48" s="2064"/>
      <c r="AE48" s="2065"/>
      <c r="AF48" s="2065"/>
      <c r="AG48" s="2065"/>
      <c r="AH48" s="2065"/>
      <c r="AI48" s="2065"/>
      <c r="AJ48" s="2065"/>
      <c r="AK48" s="2065"/>
      <c r="AL48" s="2066"/>
      <c r="AM48" s="1179" t="s">
        <v>471</v>
      </c>
      <c r="AO48" s="426"/>
      <c r="AP48" s="426" t="str">
        <f t="shared" si="1"/>
        <v>Группа потребителей</v>
      </c>
      <c r="AQ48" s="426"/>
      <c r="AR48" s="426"/>
    </row>
    <row r="49" spans="1:44" ht="21" customHeight="1">
      <c r="A49" s="1281" t="s">
        <v>191</v>
      </c>
      <c r="B49" s="1281" t="s">
        <v>192</v>
      </c>
      <c r="C49" s="1281" t="s">
        <v>193</v>
      </c>
      <c r="D49" s="1281" t="s">
        <v>194</v>
      </c>
      <c r="E49" s="2077"/>
      <c r="F49" s="2077"/>
      <c r="G49" s="2077"/>
      <c r="H49" s="2077"/>
      <c r="I49" s="2079"/>
      <c r="J49" s="2079"/>
      <c r="K49" s="2078" t="str">
        <f>J48&amp;".1"</f>
        <v>....1.1</v>
      </c>
      <c r="L49" s="1282" t="s">
        <v>472</v>
      </c>
      <c r="P49" s="1995"/>
      <c r="Q49" s="1995"/>
      <c r="R49" s="278">
        <v>1</v>
      </c>
      <c r="S49" s="1255" t="str">
        <f>$K49</f>
        <v>....1.1</v>
      </c>
      <c r="T49" s="1266"/>
      <c r="U49" s="214"/>
      <c r="V49" s="664"/>
      <c r="W49" s="246"/>
      <c r="X49" s="664"/>
      <c r="Y49" s="1178"/>
      <c r="Z49" s="2080"/>
      <c r="AA49" s="1885" t="s">
        <v>59</v>
      </c>
      <c r="AB49" s="2080"/>
      <c r="AC49" s="1885" t="s">
        <v>59</v>
      </c>
      <c r="AD49" s="664"/>
      <c r="AE49" s="246"/>
      <c r="AF49" s="664"/>
      <c r="AG49" s="1178"/>
      <c r="AH49" s="2080"/>
      <c r="AI49" s="1885" t="s">
        <v>59</v>
      </c>
      <c r="AJ49" s="2082"/>
      <c r="AK49" s="1885" t="s">
        <v>59</v>
      </c>
      <c r="AL49" s="1267"/>
      <c r="AM49" s="2098" t="s">
        <v>516</v>
      </c>
      <c r="AN49" s="437" t="e">
        <f ca="1">STRCHECKDATE(V50:AL50)</f>
        <v>#NAME?</v>
      </c>
      <c r="AO49" s="426"/>
      <c r="AP49" s="426" t="str">
        <f t="shared" si="1"/>
        <v/>
      </c>
      <c r="AQ49" s="426"/>
      <c r="AR49" s="426"/>
    </row>
    <row r="50" spans="1:44" ht="0" hidden="1" customHeight="1">
      <c r="A50" s="1281" t="s">
        <v>191</v>
      </c>
      <c r="B50" s="1281" t="s">
        <v>192</v>
      </c>
      <c r="C50" s="1281" t="s">
        <v>193</v>
      </c>
      <c r="D50" s="1281" t="s">
        <v>194</v>
      </c>
      <c r="E50" s="2077"/>
      <c r="F50" s="2077"/>
      <c r="G50" s="2077"/>
      <c r="H50" s="2077"/>
      <c r="I50" s="2079"/>
      <c r="J50" s="2079"/>
      <c r="K50" s="2078"/>
      <c r="L50" s="1282"/>
      <c r="P50" s="1995"/>
      <c r="Q50" s="1995"/>
      <c r="R50" s="278"/>
      <c r="S50" s="1261"/>
      <c r="T50" s="214"/>
      <c r="U50" s="214"/>
      <c r="V50" s="246"/>
      <c r="W50" s="246"/>
      <c r="X50" s="246"/>
      <c r="Y50" s="250" t="str">
        <f>Z49&amp;"-"&amp;AB49</f>
        <v>-</v>
      </c>
      <c r="Z50" s="2081"/>
      <c r="AA50" s="1885"/>
      <c r="AB50" s="2081"/>
      <c r="AC50" s="1885"/>
      <c r="AD50" s="246"/>
      <c r="AE50" s="246"/>
      <c r="AF50" s="246"/>
      <c r="AG50" s="250" t="str">
        <f>AH49&amp;"-"&amp;AJ49</f>
        <v>-</v>
      </c>
      <c r="AH50" s="2081"/>
      <c r="AI50" s="1885"/>
      <c r="AJ50" s="2083"/>
      <c r="AK50" s="1885"/>
      <c r="AL50" s="1268"/>
      <c r="AM50" s="2099"/>
      <c r="AO50" s="426"/>
      <c r="AP50" s="426" t="str">
        <f t="shared" si="1"/>
        <v/>
      </c>
      <c r="AQ50" s="426"/>
      <c r="AR50" s="426"/>
    </row>
    <row r="51" spans="1:44" ht="11.25" customHeight="1">
      <c r="A51" s="1281" t="s">
        <v>191</v>
      </c>
      <c r="B51" s="1281" t="s">
        <v>192</v>
      </c>
      <c r="C51" s="1281" t="s">
        <v>193</v>
      </c>
      <c r="D51" s="1281" t="s">
        <v>194</v>
      </c>
      <c r="E51" s="2077"/>
      <c r="F51" s="2077"/>
      <c r="G51" s="2077"/>
      <c r="H51" s="2077"/>
      <c r="I51" s="2079"/>
      <c r="J51" s="2078"/>
      <c r="K51" s="1281"/>
      <c r="L51" s="1282"/>
      <c r="P51" s="1995"/>
      <c r="Q51" s="1995"/>
      <c r="R51" s="277"/>
      <c r="S51" s="1200"/>
      <c r="T51" s="202" t="s">
        <v>474</v>
      </c>
      <c r="U51" s="291"/>
      <c r="V51" s="291"/>
      <c r="W51" s="291"/>
      <c r="X51" s="291"/>
      <c r="Y51" s="291"/>
      <c r="Z51" s="291"/>
      <c r="AA51" s="291"/>
      <c r="AB51" s="291"/>
      <c r="AC51" s="291"/>
      <c r="AD51" s="291"/>
      <c r="AE51" s="291"/>
      <c r="AF51" s="291"/>
      <c r="AG51" s="291"/>
      <c r="AH51" s="291"/>
      <c r="AI51" s="291"/>
      <c r="AJ51" s="291"/>
      <c r="AK51" s="291"/>
      <c r="AL51" s="245"/>
      <c r="AM51" s="2100"/>
      <c r="AO51" s="426"/>
      <c r="AP51" s="426" t="str">
        <f t="shared" si="1"/>
        <v>Добавить вид теплоносителя (параметры теплоносителя)</v>
      </c>
      <c r="AQ51" s="426"/>
      <c r="AR51" s="426"/>
    </row>
    <row r="52" spans="1:44" ht="11.25" customHeight="1">
      <c r="A52" s="1281" t="s">
        <v>191</v>
      </c>
      <c r="B52" s="1281" t="s">
        <v>192</v>
      </c>
      <c r="C52" s="1281" t="s">
        <v>193</v>
      </c>
      <c r="D52" s="1281" t="s">
        <v>194</v>
      </c>
      <c r="E52" s="2077"/>
      <c r="F52" s="2077"/>
      <c r="G52" s="2077"/>
      <c r="H52" s="2077"/>
      <c r="I52" s="2078"/>
      <c r="J52" s="1281"/>
      <c r="K52" s="1281"/>
      <c r="L52" s="1282"/>
      <c r="P52" s="1995"/>
      <c r="Q52" s="1250"/>
      <c r="R52" s="277"/>
      <c r="S52" s="1200"/>
      <c r="T52" s="288" t="s">
        <v>475</v>
      </c>
      <c r="U52" s="291"/>
      <c r="V52" s="291"/>
      <c r="W52" s="291"/>
      <c r="X52" s="291"/>
      <c r="Y52" s="291"/>
      <c r="Z52" s="291"/>
      <c r="AA52" s="291"/>
      <c r="AB52" s="291"/>
      <c r="AC52" s="290"/>
      <c r="AD52" s="291"/>
      <c r="AE52" s="291"/>
      <c r="AF52" s="291"/>
      <c r="AG52" s="291"/>
      <c r="AH52" s="291"/>
      <c r="AI52" s="291"/>
      <c r="AJ52" s="291"/>
      <c r="AK52" s="290"/>
      <c r="AL52" s="291"/>
      <c r="AM52" s="217"/>
      <c r="AO52" s="426"/>
      <c r="AP52" s="426" t="str">
        <f t="shared" si="1"/>
        <v>Добавить группу потребителей</v>
      </c>
      <c r="AQ52" s="426"/>
      <c r="AR52" s="426"/>
    </row>
    <row r="53" spans="1:44" ht="0" hidden="1" customHeight="1">
      <c r="A53" s="1281" t="s">
        <v>191</v>
      </c>
      <c r="B53" s="1281" t="s">
        <v>192</v>
      </c>
      <c r="C53" s="1281" t="s">
        <v>193</v>
      </c>
      <c r="D53" s="1281" t="s">
        <v>194</v>
      </c>
      <c r="E53" s="2077"/>
      <c r="F53" s="2077"/>
      <c r="G53" s="2077"/>
      <c r="H53" s="2076"/>
      <c r="I53" s="1281"/>
      <c r="J53" s="1281"/>
      <c r="K53" s="1281"/>
      <c r="L53" s="1282"/>
      <c r="M53" s="1283"/>
      <c r="N53" s="1283"/>
      <c r="O53" s="462"/>
      <c r="P53" s="281"/>
      <c r="Q53" s="299"/>
      <c r="R53" s="276"/>
      <c r="S53" s="1304"/>
      <c r="T53" s="1305"/>
      <c r="U53" s="1306"/>
      <c r="V53" s="1306"/>
      <c r="W53" s="1306"/>
      <c r="X53" s="1306"/>
      <c r="Y53" s="1306"/>
      <c r="Z53" s="1306"/>
      <c r="AA53" s="1306"/>
      <c r="AB53" s="1306"/>
      <c r="AC53" s="1306"/>
      <c r="AD53" s="1306"/>
      <c r="AE53" s="1306"/>
      <c r="AF53" s="1306"/>
      <c r="AG53" s="1306"/>
      <c r="AH53" s="1306"/>
      <c r="AI53" s="1306"/>
      <c r="AJ53" s="1306"/>
      <c r="AK53" s="1306"/>
      <c r="AL53" s="1306"/>
      <c r="AM53" s="1307"/>
      <c r="AO53" s="426"/>
      <c r="AP53" s="426" t="str">
        <f t="shared" si="1"/>
        <v/>
      </c>
      <c r="AQ53" s="426"/>
      <c r="AR53" s="426"/>
    </row>
    <row r="54" spans="1:44" s="1559" customFormat="1" ht="0" hidden="1" customHeight="1">
      <c r="A54" s="1262" t="s">
        <v>191</v>
      </c>
      <c r="B54" s="1262" t="s">
        <v>192</v>
      </c>
      <c r="C54" s="1262" t="s">
        <v>193</v>
      </c>
      <c r="D54" s="1234"/>
      <c r="E54" s="2077"/>
      <c r="F54" s="2077"/>
      <c r="G54" s="2076"/>
      <c r="H54" s="1234"/>
      <c r="I54" s="1234"/>
      <c r="J54" s="1234"/>
      <c r="K54" s="1234"/>
      <c r="L54" s="1258"/>
      <c r="M54" s="1235"/>
      <c r="N54" s="1235"/>
      <c r="P54" s="1236"/>
      <c r="Q54" s="1237"/>
      <c r="R54" s="1236"/>
      <c r="S54" s="1242"/>
      <c r="T54" s="1245" t="s">
        <v>433</v>
      </c>
      <c r="U54" s="1244"/>
      <c r="V54" s="1244"/>
      <c r="W54" s="1244"/>
      <c r="X54" s="1244"/>
      <c r="Y54" s="1244"/>
      <c r="Z54" s="1244"/>
      <c r="AA54" s="1244"/>
      <c r="AB54" s="1244"/>
      <c r="AC54" s="1244"/>
      <c r="AD54" s="1244"/>
      <c r="AE54" s="1244"/>
      <c r="AF54" s="1244"/>
      <c r="AG54" s="1244"/>
      <c r="AH54" s="1244"/>
      <c r="AI54" s="1244"/>
      <c r="AJ54" s="1244"/>
      <c r="AK54" s="1244"/>
      <c r="AL54" s="1244"/>
      <c r="AM54" s="1244"/>
      <c r="AO54" s="702"/>
      <c r="AP54" s="702" t="str">
        <f t="shared" si="1"/>
        <v>Добавить источник для дифференциации</v>
      </c>
      <c r="AQ54" s="702"/>
      <c r="AR54" s="702"/>
    </row>
    <row r="55" spans="1:44" s="1559" customFormat="1" ht="0" hidden="1" customHeight="1">
      <c r="A55" s="1262" t="s">
        <v>191</v>
      </c>
      <c r="B55" s="1262" t="s">
        <v>192</v>
      </c>
      <c r="C55" s="1234"/>
      <c r="D55" s="1234"/>
      <c r="E55" s="2077"/>
      <c r="F55" s="2076"/>
      <c r="G55" s="1234"/>
      <c r="H55" s="1234"/>
      <c r="I55" s="1234"/>
      <c r="J55" s="1234"/>
      <c r="K55" s="1234"/>
      <c r="L55" s="1258"/>
      <c r="M55" s="1241"/>
      <c r="N55" s="1241"/>
      <c r="P55" s="1236"/>
      <c r="Q55" s="1237"/>
      <c r="R55" s="1236"/>
      <c r="S55" s="1242"/>
      <c r="T55" s="1245" t="s">
        <v>434</v>
      </c>
      <c r="U55" s="1244"/>
      <c r="V55" s="1244"/>
      <c r="W55" s="1244"/>
      <c r="X55" s="1244"/>
      <c r="Y55" s="1244"/>
      <c r="Z55" s="1244"/>
      <c r="AA55" s="1244"/>
      <c r="AB55" s="1244"/>
      <c r="AC55" s="1244"/>
      <c r="AD55" s="1244"/>
      <c r="AE55" s="1244"/>
      <c r="AF55" s="1244"/>
      <c r="AG55" s="1244"/>
      <c r="AH55" s="1244"/>
      <c r="AI55" s="1244"/>
      <c r="AJ55" s="1244"/>
      <c r="AK55" s="1244"/>
      <c r="AL55" s="1244"/>
      <c r="AM55" s="1244"/>
      <c r="AO55" s="702"/>
      <c r="AP55" s="702" t="str">
        <f t="shared" si="1"/>
        <v>Добавить централизованную систему для дифференциации</v>
      </c>
      <c r="AQ55" s="702"/>
      <c r="AR55" s="702"/>
    </row>
    <row r="56" spans="1:44" s="1559" customFormat="1" ht="0" hidden="1" customHeight="1">
      <c r="A56" s="1262" t="s">
        <v>191</v>
      </c>
      <c r="B56" s="1262"/>
      <c r="C56" s="1262"/>
      <c r="D56" s="1262"/>
      <c r="E56" s="2076"/>
      <c r="F56" s="1262"/>
      <c r="G56" s="1262"/>
      <c r="H56" s="1262"/>
      <c r="I56" s="1262"/>
      <c r="J56" s="1262"/>
      <c r="K56" s="1262"/>
      <c r="L56" s="1265"/>
      <c r="M56" s="1241"/>
      <c r="N56" s="1241"/>
      <c r="O56" s="444"/>
      <c r="P56" s="308"/>
      <c r="Q56" s="1263"/>
      <c r="R56" s="308"/>
      <c r="S56" s="1242"/>
      <c r="T56" s="1245" t="s">
        <v>435</v>
      </c>
      <c r="U56" s="1244"/>
      <c r="V56" s="1244"/>
      <c r="W56" s="1244"/>
      <c r="X56" s="1244"/>
      <c r="Y56" s="1244"/>
      <c r="Z56" s="1244"/>
      <c r="AA56" s="1244"/>
      <c r="AB56" s="1244"/>
      <c r="AC56" s="1244"/>
      <c r="AD56" s="1244"/>
      <c r="AE56" s="1244"/>
      <c r="AF56" s="1244"/>
      <c r="AG56" s="1244"/>
      <c r="AH56" s="1244"/>
      <c r="AI56" s="1244"/>
      <c r="AJ56" s="1244"/>
      <c r="AK56" s="1244"/>
      <c r="AL56" s="1244"/>
      <c r="AM56" s="1244"/>
      <c r="AO56" s="426"/>
      <c r="AP56" s="426" t="str">
        <f t="shared" si="1"/>
        <v>Добавить территорию для дифференциации</v>
      </c>
      <c r="AQ56" s="426"/>
      <c r="AR56" s="426"/>
    </row>
    <row r="57" spans="1:44" s="1559" customFormat="1" ht="5.25" customHeight="1">
      <c r="A57" s="1234"/>
      <c r="B57" s="1234"/>
      <c r="C57" s="1234"/>
      <c r="D57" s="1234"/>
      <c r="E57" s="1262"/>
      <c r="F57" s="1234"/>
      <c r="G57" s="1234"/>
      <c r="H57" s="1234"/>
      <c r="I57" s="1234"/>
      <c r="J57" s="1234"/>
      <c r="K57" s="1234"/>
      <c r="L57" s="1258"/>
      <c r="M57" s="1241"/>
      <c r="N57" s="1241"/>
      <c r="P57" s="1236"/>
      <c r="Q57" s="1237"/>
      <c r="R57" s="1236"/>
      <c r="S57" s="1242"/>
      <c r="T57" s="1245" t="s">
        <v>436</v>
      </c>
      <c r="U57" s="1244"/>
      <c r="V57" s="1244"/>
      <c r="W57" s="1244"/>
      <c r="X57" s="1244"/>
      <c r="Y57" s="1244"/>
      <c r="Z57" s="1244"/>
      <c r="AA57" s="1244"/>
      <c r="AB57" s="1244"/>
      <c r="AC57" s="1244"/>
      <c r="AD57" s="1244"/>
      <c r="AE57" s="1244"/>
      <c r="AF57" s="1244"/>
      <c r="AG57" s="1244"/>
      <c r="AH57" s="1244"/>
      <c r="AI57" s="1244"/>
      <c r="AJ57" s="1244"/>
      <c r="AK57" s="1244"/>
      <c r="AL57" s="1244"/>
      <c r="AM57" s="1244"/>
      <c r="AO57" s="702"/>
      <c r="AP57" s="702" t="str">
        <f t="shared" si="1"/>
        <v>Добавить наименование тарифа</v>
      </c>
      <c r="AQ57" s="702"/>
      <c r="AR57" s="702"/>
    </row>
    <row r="58" spans="1:44" ht="11.25" hidden="1" customHeight="1">
      <c r="M58" s="1062"/>
      <c r="N58" s="1062"/>
      <c r="O58" s="462"/>
      <c r="P58" s="1057"/>
      <c r="Q58" s="1057"/>
      <c r="R58" s="1057"/>
      <c r="S58" s="1057"/>
      <c r="AN58" s="1057"/>
      <c r="AO58" s="1057"/>
      <c r="AP58" s="1057"/>
      <c r="AQ58" s="1057"/>
      <c r="AR58" s="1057"/>
    </row>
    <row r="59" spans="1:44" ht="14.25" hidden="1" customHeight="1">
      <c r="O59" s="462"/>
      <c r="S59" s="1166" t="s">
        <v>508</v>
      </c>
      <c r="T59" s="2075" t="s">
        <v>517</v>
      </c>
      <c r="U59" s="2075"/>
      <c r="V59" s="2075"/>
      <c r="W59" s="2075"/>
      <c r="X59" s="2075"/>
      <c r="Y59" s="2075"/>
      <c r="Z59" s="2075"/>
      <c r="AA59" s="2075"/>
      <c r="AB59" s="2075"/>
      <c r="AC59" s="2075"/>
      <c r="AD59" s="2075"/>
      <c r="AE59" s="2075"/>
      <c r="AF59" s="2075"/>
      <c r="AG59" s="2075"/>
      <c r="AH59" s="2075"/>
      <c r="AI59" s="2075"/>
      <c r="AJ59" s="2075"/>
      <c r="AK59" s="2075"/>
      <c r="AL59" s="2075"/>
      <c r="AM59" s="2075"/>
    </row>
    <row r="60" spans="1:44" ht="14.25" hidden="1" customHeight="1">
      <c r="O60" s="462"/>
      <c r="T60" s="2075" t="s">
        <v>518</v>
      </c>
      <c r="U60" s="2075"/>
      <c r="V60" s="2075"/>
      <c r="W60" s="2075"/>
      <c r="X60" s="2075"/>
      <c r="Y60" s="2075"/>
      <c r="Z60" s="2075"/>
      <c r="AA60" s="2075"/>
      <c r="AB60" s="2075"/>
      <c r="AC60" s="2075"/>
      <c r="AD60" s="2075"/>
      <c r="AE60" s="2075"/>
      <c r="AF60" s="2075"/>
      <c r="AG60" s="2075"/>
      <c r="AH60" s="2075"/>
      <c r="AI60" s="2075"/>
      <c r="AJ60" s="2075"/>
      <c r="AK60" s="2075"/>
      <c r="AL60" s="2075"/>
      <c r="AM60" s="2075"/>
    </row>
    <row r="61" spans="1:44" ht="14.25" hidden="1" customHeight="1">
      <c r="O61" s="462"/>
      <c r="T61" s="2075" t="s">
        <v>519</v>
      </c>
      <c r="U61" s="2075"/>
      <c r="V61" s="2075"/>
      <c r="W61" s="2075"/>
      <c r="X61" s="2075"/>
      <c r="Y61" s="2075"/>
      <c r="Z61" s="2075"/>
      <c r="AA61" s="2075"/>
      <c r="AB61" s="2075"/>
      <c r="AC61" s="2075"/>
      <c r="AD61" s="2075"/>
      <c r="AE61" s="2075"/>
      <c r="AF61" s="2075"/>
      <c r="AG61" s="2075"/>
      <c r="AH61" s="2075"/>
      <c r="AI61" s="2075"/>
      <c r="AJ61" s="2075"/>
      <c r="AK61" s="2075"/>
      <c r="AL61" s="2075"/>
      <c r="AM61" s="2075"/>
    </row>
    <row r="62" spans="1:44" ht="14.25" hidden="1" customHeight="1">
      <c r="O62" s="462"/>
    </row>
    <row r="63" spans="1:44" ht="14.25" hidden="1" customHeight="1">
      <c r="O63" s="462"/>
      <c r="S63" s="1166" t="s">
        <v>508</v>
      </c>
      <c r="T63" s="1914" t="s">
        <v>511</v>
      </c>
      <c r="U63" s="2075"/>
      <c r="V63" s="2075"/>
      <c r="W63" s="2075"/>
      <c r="X63" s="2075"/>
      <c r="Y63" s="2075"/>
      <c r="Z63" s="2075"/>
      <c r="AA63" s="2075"/>
      <c r="AB63" s="2075"/>
      <c r="AC63" s="2075"/>
      <c r="AD63" s="2075"/>
      <c r="AE63" s="2075"/>
      <c r="AF63" s="2075"/>
      <c r="AG63" s="2075"/>
      <c r="AH63" s="2075"/>
      <c r="AI63" s="2075"/>
      <c r="AJ63" s="2075"/>
      <c r="AK63" s="2075"/>
      <c r="AL63" s="2075"/>
      <c r="AM63" s="2075"/>
    </row>
    <row r="64" spans="1:44" ht="14.25" hidden="1" customHeight="1">
      <c r="O64" s="462"/>
      <c r="T64" s="2075" t="s">
        <v>520</v>
      </c>
      <c r="U64" s="2075"/>
      <c r="V64" s="2075"/>
      <c r="W64" s="2075"/>
      <c r="X64" s="2075"/>
      <c r="Y64" s="2075"/>
      <c r="Z64" s="2075"/>
      <c r="AA64" s="2075"/>
      <c r="AB64" s="2075"/>
      <c r="AC64" s="2075"/>
      <c r="AD64" s="2075"/>
      <c r="AE64" s="2075"/>
      <c r="AF64" s="2075"/>
      <c r="AG64" s="2075"/>
      <c r="AH64" s="2075"/>
      <c r="AI64" s="2075"/>
      <c r="AJ64" s="2075"/>
      <c r="AK64" s="2075"/>
      <c r="AL64" s="2075"/>
      <c r="AM64" s="2075"/>
    </row>
    <row r="65" spans="20:39" ht="14.25" hidden="1" customHeight="1">
      <c r="T65" s="2075" t="s">
        <v>521</v>
      </c>
      <c r="U65" s="2075"/>
      <c r="V65" s="2075"/>
      <c r="W65" s="2075"/>
      <c r="X65" s="2075"/>
      <c r="Y65" s="2075"/>
      <c r="Z65" s="2075"/>
      <c r="AA65" s="2075"/>
      <c r="AB65" s="2075"/>
      <c r="AC65" s="2075"/>
      <c r="AD65" s="2075"/>
      <c r="AE65" s="2075"/>
      <c r="AF65" s="2075"/>
      <c r="AG65" s="2075"/>
      <c r="AH65" s="2075"/>
      <c r="AI65" s="2075"/>
      <c r="AJ65" s="2075"/>
      <c r="AK65" s="2075"/>
      <c r="AL65" s="2075"/>
      <c r="AM65" s="2075"/>
    </row>
  </sheetData>
  <sheetProtection formatColumns="0" formatRows="0" insertRows="0" deleteColumns="0" deleteRows="0" sort="0" autoFilter="0"/>
  <mergeCells count="113">
    <mergeCell ref="S26:AJ26"/>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 ref="AM8:AM10"/>
    <mergeCell ref="AH17:AH18"/>
    <mergeCell ref="AI17:AI18"/>
    <mergeCell ref="AJ17:AJ18"/>
    <mergeCell ref="AK17:AK18"/>
    <mergeCell ref="J7:J10"/>
    <mergeCell ref="Q7:Q10"/>
    <mergeCell ref="V7:AC7"/>
    <mergeCell ref="AD7:AL7"/>
    <mergeCell ref="K8:K9"/>
    <mergeCell ref="Z8:Z9"/>
    <mergeCell ref="AA8:AA9"/>
    <mergeCell ref="AB8:AB9"/>
    <mergeCell ref="AC8:AC9"/>
    <mergeCell ref="AH8:AH9"/>
    <mergeCell ref="AI8:AI9"/>
    <mergeCell ref="AJ8:AJ9"/>
    <mergeCell ref="AK8:AK9"/>
    <mergeCell ref="S31:T31"/>
    <mergeCell ref="V31:AB31"/>
    <mergeCell ref="AD31:AJ31"/>
    <mergeCell ref="S32:T32"/>
    <mergeCell ref="V32:AB32"/>
    <mergeCell ref="AD32:AJ32"/>
    <mergeCell ref="S27:AJ27"/>
    <mergeCell ref="S29:T29"/>
    <mergeCell ref="V29:AB29"/>
    <mergeCell ref="AD29:AJ29"/>
    <mergeCell ref="S30:T30"/>
    <mergeCell ref="V30:AB30"/>
    <mergeCell ref="AD30:AJ30"/>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I41:AJ41"/>
    <mergeCell ref="AH40:AJ40"/>
    <mergeCell ref="AA41:AB41"/>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J48:J51"/>
    <mergeCell ref="Q48:Q51"/>
    <mergeCell ref="V48:AC48"/>
    <mergeCell ref="AD48:AL48"/>
    <mergeCell ref="K49:K50"/>
    <mergeCell ref="Z49:Z50"/>
    <mergeCell ref="AA49:AA50"/>
    <mergeCell ref="AB49:AB50"/>
    <mergeCell ref="AC49:AC50"/>
    <mergeCell ref="AH49:AH50"/>
    <mergeCell ref="V37:AC37"/>
    <mergeCell ref="AD37:AK37"/>
    <mergeCell ref="AI49:AI50"/>
    <mergeCell ref="AJ49:AJ50"/>
    <mergeCell ref="AK49:AK50"/>
    <mergeCell ref="T65:AM65"/>
    <mergeCell ref="S34:T34"/>
    <mergeCell ref="V34:AB34"/>
    <mergeCell ref="AD34:AJ34"/>
    <mergeCell ref="S35:T35"/>
    <mergeCell ref="V35:AB35"/>
    <mergeCell ref="AD35:AJ35"/>
    <mergeCell ref="T63:AM63"/>
    <mergeCell ref="T64:AM64"/>
    <mergeCell ref="AM49:AM51"/>
    <mergeCell ref="T59:AM59"/>
    <mergeCell ref="T60:AM60"/>
    <mergeCell ref="T61:AM61"/>
    <mergeCell ref="V47:AC47"/>
    <mergeCell ref="AD47:AL47"/>
    <mergeCell ref="AA42:AB42"/>
    <mergeCell ref="AI42:AJ42"/>
    <mergeCell ref="AE40:AE41"/>
    <mergeCell ref="AF40:AG40"/>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93265 AK49 AK524337 AK8 AK589873 AK655409 AK17 AK720945 AK786481 AK852017 AK917553 AK983089 AK65585 AK131121 AK458801 AI49 AK196657 AI8 AC8 AA8 AI17 AK262193 AA49 AC49 AK327729"/>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AV73"/>
  <sheetViews>
    <sheetView showGridLines="0" topLeftCell="R29" zoomScale="90" workbookViewId="0"/>
  </sheetViews>
  <sheetFormatPr defaultColWidth="10.5703125" defaultRowHeight="14.25" customHeight="1"/>
  <cols>
    <col min="1" max="1" width="10.5703125" style="1552" hidden="1"/>
    <col min="2" max="2" width="11" style="1552" hidden="1" customWidth="1"/>
    <col min="3" max="3" width="10.5703125" style="1552" hidden="1"/>
    <col min="4" max="4" width="11.85546875" style="1552" hidden="1" customWidth="1"/>
    <col min="5" max="5" width="10" style="1552" hidden="1" customWidth="1"/>
    <col min="6" max="6" width="8.7109375" style="1552" hidden="1" customWidth="1"/>
    <col min="7" max="7" width="7.5703125" style="1552" hidden="1" customWidth="1"/>
    <col min="8" max="8" width="11.42578125" style="1552" hidden="1" customWidth="1"/>
    <col min="9" max="9" width="12" style="1552" hidden="1" customWidth="1"/>
    <col min="10" max="10" width="9.85546875" style="1552" hidden="1" customWidth="1"/>
    <col min="11" max="12" width="11.42578125" style="1552" hidden="1" customWidth="1"/>
    <col min="13" max="13" width="19.140625" style="1787" hidden="1" customWidth="1"/>
    <col min="14" max="15" width="12.28515625" style="1803" hidden="1" customWidth="1"/>
    <col min="16" max="16" width="23.42578125" style="1803" hidden="1" customWidth="1"/>
    <col min="17" max="17" width="3.7109375" style="1803" hidden="1" customWidth="1"/>
    <col min="18" max="20" width="3.7109375" style="265" customWidth="1"/>
    <col min="21" max="21" width="12.7109375" style="1806" customWidth="1"/>
    <col min="22" max="22" width="32" style="1552" customWidth="1"/>
    <col min="23" max="23" width="0.140625" style="1552" customWidth="1"/>
    <col min="24" max="28" width="21.7109375" style="1552" hidden="1" customWidth="1"/>
    <col min="29" max="29" width="11.7109375" style="1552" hidden="1" customWidth="1"/>
    <col min="30" max="30" width="3.7109375" style="1552" hidden="1" customWidth="1"/>
    <col min="31" max="31" width="11.7109375" style="1552" hidden="1" customWidth="1"/>
    <col min="32" max="32" width="8.5703125" style="1552" hidden="1" customWidth="1"/>
    <col min="33" max="37" width="21.7109375" style="1552" customWidth="1"/>
    <col min="38" max="38" width="11.7109375" style="1552" customWidth="1"/>
    <col min="39" max="39" width="3.7109375" style="1552" customWidth="1"/>
    <col min="40" max="40" width="11.7109375" style="1552" customWidth="1"/>
    <col min="41" max="41" width="8.5703125" style="1552" customWidth="1"/>
    <col min="42" max="42" width="4.7109375" style="1552" customWidth="1"/>
    <col min="43" max="43" width="115.7109375" style="1552" customWidth="1"/>
    <col min="44" max="45" width="10.5703125" style="1559"/>
    <col min="46" max="46" width="11.140625" style="1559" customWidth="1"/>
    <col min="47" max="48" width="10.5703125" style="1559"/>
  </cols>
  <sheetData>
    <row r="1" spans="1:48" ht="14.25" hidden="1" customHeight="1">
      <c r="AB1" s="249"/>
      <c r="AC1" s="249"/>
      <c r="AK1" s="249"/>
      <c r="AL1" s="249"/>
    </row>
    <row r="2" spans="1:48" ht="21" hidden="1" customHeight="1">
      <c r="A2" s="1188"/>
      <c r="B2" s="1188"/>
      <c r="C2" s="1188"/>
      <c r="D2" s="1188"/>
      <c r="E2" s="2111">
        <v>1</v>
      </c>
      <c r="F2" s="1188"/>
      <c r="G2" s="1188"/>
      <c r="H2" s="1188"/>
      <c r="I2" s="1188"/>
      <c r="J2" s="1188"/>
      <c r="K2" s="1188"/>
      <c r="L2" s="1188"/>
      <c r="M2" s="1230"/>
      <c r="N2" s="604"/>
      <c r="O2" s="604"/>
      <c r="P2" s="604"/>
      <c r="Q2" s="282"/>
      <c r="R2" s="281"/>
      <c r="S2" s="281"/>
      <c r="T2" s="276"/>
      <c r="U2" s="1255" t="e">
        <f>INDEX(PT_DIFFERENTIATION_NUM_NTAR,MATCH(A2,PT_DIFFERENTIATION_NTAR_ID,0))</f>
        <v>#N/A</v>
      </c>
      <c r="V2" s="212" t="s">
        <v>128</v>
      </c>
      <c r="W2" s="214"/>
      <c r="X2" s="2070"/>
      <c r="Y2" s="2071"/>
      <c r="Z2" s="2071"/>
      <c r="AA2" s="2071"/>
      <c r="AB2" s="2071"/>
      <c r="AC2" s="2071"/>
      <c r="AD2" s="2071"/>
      <c r="AE2" s="2071"/>
      <c r="AF2" s="2072"/>
      <c r="AG2" s="2070" t="e">
        <f>INDEX(PT_DIFFERENTIATION_NTAR,MATCH(A2,PT_DIFFERENTIATION_NTAR_ID,0))</f>
        <v>#N/A</v>
      </c>
      <c r="AH2" s="2071"/>
      <c r="AI2" s="2071"/>
      <c r="AJ2" s="2071"/>
      <c r="AK2" s="2071"/>
      <c r="AL2" s="2071"/>
      <c r="AM2" s="2071"/>
      <c r="AN2" s="2071"/>
      <c r="AO2" s="2071"/>
      <c r="AP2" s="2072"/>
      <c r="AQ2" s="1179" t="s">
        <v>459</v>
      </c>
      <c r="AS2" s="426"/>
      <c r="AT2" s="426" t="str">
        <f t="shared" ref="AT2:AT8" si="0">IF(V2="","",V2)</f>
        <v>Наименование тарифа</v>
      </c>
      <c r="AU2" s="426"/>
      <c r="AV2" s="426"/>
    </row>
    <row r="3" spans="1:48" ht="21" hidden="1" customHeight="1">
      <c r="A3" s="1188"/>
      <c r="B3" s="1188"/>
      <c r="C3" s="1188"/>
      <c r="D3" s="1188"/>
      <c r="E3" s="2112"/>
      <c r="F3" s="2111">
        <v>1</v>
      </c>
      <c r="G3" s="1188"/>
      <c r="H3" s="1188"/>
      <c r="I3" s="1188"/>
      <c r="J3" s="1188"/>
      <c r="K3" s="1188"/>
      <c r="L3" s="1188"/>
      <c r="M3" s="1230"/>
      <c r="N3" s="604"/>
      <c r="O3" s="604"/>
      <c r="P3" s="604"/>
      <c r="Q3" s="1251"/>
      <c r="R3" s="273"/>
      <c r="S3" s="435"/>
      <c r="T3" s="274"/>
      <c r="U3" s="1255" t="e">
        <f>INDEX(PT_DIFFERENTIATION_NUM_TER,MATCH(B3,PT_DIFFERENTIATION_TER_ID,0))</f>
        <v>#N/A</v>
      </c>
      <c r="V3" s="224" t="s">
        <v>460</v>
      </c>
      <c r="W3" s="214"/>
      <c r="X3" s="2070"/>
      <c r="Y3" s="2071"/>
      <c r="Z3" s="2071"/>
      <c r="AA3" s="2071"/>
      <c r="AB3" s="2071"/>
      <c r="AC3" s="2071"/>
      <c r="AD3" s="2071"/>
      <c r="AE3" s="2071"/>
      <c r="AF3" s="2072"/>
      <c r="AG3" s="2070" t="e">
        <f>INDEX(PT_DIFFERENTIATION_TER,MATCH(B3,PT_DIFFERENTIATION_TER_ID,0))</f>
        <v>#N/A</v>
      </c>
      <c r="AH3" s="2071"/>
      <c r="AI3" s="2071"/>
      <c r="AJ3" s="2071"/>
      <c r="AK3" s="2071"/>
      <c r="AL3" s="2071"/>
      <c r="AM3" s="2071"/>
      <c r="AN3" s="2071"/>
      <c r="AO3" s="2071"/>
      <c r="AP3" s="2072"/>
      <c r="AQ3" s="1179" t="s">
        <v>461</v>
      </c>
      <c r="AS3" s="426"/>
      <c r="AT3" s="426" t="str">
        <f t="shared" si="0"/>
        <v>Территория действия тарифа</v>
      </c>
      <c r="AU3" s="426"/>
      <c r="AV3" s="426"/>
    </row>
    <row r="4" spans="1:48" ht="22.5" hidden="1" customHeight="1">
      <c r="A4" s="1188"/>
      <c r="B4" s="1188"/>
      <c r="C4" s="1188"/>
      <c r="D4" s="1188"/>
      <c r="E4" s="2112"/>
      <c r="F4" s="2112"/>
      <c r="G4" s="2111">
        <v>1</v>
      </c>
      <c r="H4" s="1188"/>
      <c r="I4" s="1188"/>
      <c r="J4" s="1188"/>
      <c r="K4" s="1188"/>
      <c r="L4" s="1188"/>
      <c r="M4" s="1230"/>
      <c r="N4" s="604"/>
      <c r="O4" s="604"/>
      <c r="P4" s="604"/>
      <c r="Q4" s="275"/>
      <c r="R4" s="273"/>
      <c r="S4" s="435"/>
      <c r="T4" s="274"/>
      <c r="U4" s="1255" t="e">
        <f>INDEX(PT_DIFFERENTIATION_NUM_CS,MATCH(C4,PT_DIFFERENTIATION_CS_ID,0))</f>
        <v>#N/A</v>
      </c>
      <c r="V4" s="225" t="s">
        <v>462</v>
      </c>
      <c r="W4" s="214"/>
      <c r="X4" s="2070"/>
      <c r="Y4" s="2071"/>
      <c r="Z4" s="2071"/>
      <c r="AA4" s="2071"/>
      <c r="AB4" s="2071"/>
      <c r="AC4" s="2071"/>
      <c r="AD4" s="2071"/>
      <c r="AE4" s="2071"/>
      <c r="AF4" s="2072"/>
      <c r="AG4" s="2070" t="e">
        <f>INDEX(PT_DIFFERENTIATION_CS,MATCH(C4,PT_DIFFERENTIATION_CS_ID,0))</f>
        <v>#N/A</v>
      </c>
      <c r="AH4" s="2071"/>
      <c r="AI4" s="2071"/>
      <c r="AJ4" s="2071"/>
      <c r="AK4" s="2071"/>
      <c r="AL4" s="2071"/>
      <c r="AM4" s="2071"/>
      <c r="AN4" s="2071"/>
      <c r="AO4" s="2071"/>
      <c r="AP4" s="2072"/>
      <c r="AQ4" s="1179" t="s">
        <v>463</v>
      </c>
      <c r="AS4" s="426"/>
      <c r="AT4" s="426" t="str">
        <f t="shared" si="0"/>
        <v xml:space="preserve">Наименование системы теплоснабжения </v>
      </c>
      <c r="AU4" s="426"/>
      <c r="AV4" s="426"/>
    </row>
    <row r="5" spans="1:48" ht="21" hidden="1" customHeight="1">
      <c r="A5" s="1188"/>
      <c r="B5" s="1188"/>
      <c r="C5" s="1188"/>
      <c r="D5" s="1188"/>
      <c r="E5" s="2112"/>
      <c r="F5" s="2112"/>
      <c r="G5" s="2112"/>
      <c r="H5" s="2111">
        <v>1</v>
      </c>
      <c r="I5" s="1188"/>
      <c r="J5" s="1188"/>
      <c r="K5" s="1188"/>
      <c r="L5" s="1188"/>
      <c r="M5" s="1230"/>
      <c r="N5" s="604"/>
      <c r="O5" s="604"/>
      <c r="P5" s="604"/>
      <c r="Q5" s="275"/>
      <c r="R5" s="273"/>
      <c r="S5" s="435"/>
      <c r="T5" s="274"/>
      <c r="U5" s="1255" t="e">
        <f>INDEX(PT_DIFFERENTIATION_NUM_IST_TE,MATCH(D5,PT_DIFFERENTIATION_IST_TE_ID,0))</f>
        <v>#N/A</v>
      </c>
      <c r="V5" s="226" t="s">
        <v>464</v>
      </c>
      <c r="W5" s="214"/>
      <c r="X5" s="2070"/>
      <c r="Y5" s="2071"/>
      <c r="Z5" s="2071"/>
      <c r="AA5" s="2071"/>
      <c r="AB5" s="2071"/>
      <c r="AC5" s="2071"/>
      <c r="AD5" s="2071"/>
      <c r="AE5" s="2071"/>
      <c r="AF5" s="2072"/>
      <c r="AG5" s="2070" t="e">
        <f>INDEX(PT_DIFFERENTIATION_IST_TE,MATCH(D5,PT_DIFFERENTIATION_IST_TE_ID,0))</f>
        <v>#N/A</v>
      </c>
      <c r="AH5" s="2071"/>
      <c r="AI5" s="2071"/>
      <c r="AJ5" s="2071"/>
      <c r="AK5" s="2071"/>
      <c r="AL5" s="2071"/>
      <c r="AM5" s="2071"/>
      <c r="AN5" s="2071"/>
      <c r="AO5" s="2071"/>
      <c r="AP5" s="2072"/>
      <c r="AQ5" s="1179" t="s">
        <v>465</v>
      </c>
      <c r="AS5" s="426"/>
      <c r="AT5" s="426" t="str">
        <f t="shared" si="0"/>
        <v xml:space="preserve">Источник тепловой энергии  </v>
      </c>
      <c r="AU5" s="426"/>
      <c r="AV5" s="426"/>
    </row>
    <row r="6" spans="1:48" ht="14.25" hidden="1" customHeight="1">
      <c r="A6" s="1188"/>
      <c r="B6" s="1188"/>
      <c r="C6" s="1188"/>
      <c r="D6" s="1188"/>
      <c r="E6" s="2112"/>
      <c r="F6" s="2112"/>
      <c r="G6" s="2112"/>
      <c r="H6" s="2112"/>
      <c r="I6" s="1874" t="e">
        <f>U5&amp;".1"</f>
        <v>#N/A</v>
      </c>
      <c r="J6" s="1188"/>
      <c r="K6" s="1188"/>
      <c r="L6" s="1188"/>
      <c r="M6" s="1230" t="s">
        <v>466</v>
      </c>
      <c r="N6" s="435"/>
      <c r="Q6" s="1995">
        <v>1</v>
      </c>
      <c r="R6" s="1250"/>
      <c r="S6" s="1250"/>
      <c r="T6" s="277"/>
      <c r="U6" s="950"/>
      <c r="V6" s="1301"/>
      <c r="W6" s="1302"/>
      <c r="X6" s="2105"/>
      <c r="Y6" s="2106"/>
      <c r="Z6" s="2106"/>
      <c r="AA6" s="2106"/>
      <c r="AB6" s="2106"/>
      <c r="AC6" s="2106"/>
      <c r="AD6" s="2106"/>
      <c r="AE6" s="2106"/>
      <c r="AF6" s="2107"/>
      <c r="AG6" s="2105"/>
      <c r="AH6" s="2106"/>
      <c r="AI6" s="2106"/>
      <c r="AJ6" s="2106"/>
      <c r="AK6" s="2106"/>
      <c r="AL6" s="2106"/>
      <c r="AM6" s="2106"/>
      <c r="AN6" s="2106"/>
      <c r="AO6" s="2106"/>
      <c r="AP6" s="2107"/>
      <c r="AQ6" s="1303"/>
      <c r="AS6" s="426"/>
      <c r="AT6" s="426" t="str">
        <f t="shared" si="0"/>
        <v/>
      </c>
      <c r="AU6" s="426"/>
      <c r="AV6" s="426"/>
    </row>
    <row r="7" spans="1:48" ht="21" hidden="1" customHeight="1">
      <c r="A7" s="1188"/>
      <c r="B7" s="1188"/>
      <c r="C7" s="1188"/>
      <c r="D7" s="1188"/>
      <c r="E7" s="2112"/>
      <c r="F7" s="2112"/>
      <c r="G7" s="2112"/>
      <c r="H7" s="2112"/>
      <c r="I7" s="1856"/>
      <c r="J7" s="1874" t="e">
        <f>I6&amp;".1"</f>
        <v>#N/A</v>
      </c>
      <c r="K7" s="1188"/>
      <c r="L7" s="1188"/>
      <c r="M7" s="1230" t="s">
        <v>469</v>
      </c>
      <c r="N7" s="435"/>
      <c r="O7" s="249"/>
      <c r="Q7" s="1995"/>
      <c r="R7" s="1995">
        <v>1</v>
      </c>
      <c r="S7" s="444"/>
      <c r="T7" s="278"/>
      <c r="U7" s="1255" t="e">
        <f>$J7</f>
        <v>#N/A</v>
      </c>
      <c r="V7" s="201" t="s">
        <v>470</v>
      </c>
      <c r="W7" s="214"/>
      <c r="X7" s="2064"/>
      <c r="Y7" s="2065"/>
      <c r="Z7" s="2065"/>
      <c r="AA7" s="2065"/>
      <c r="AB7" s="2065"/>
      <c r="AC7" s="1982"/>
      <c r="AD7" s="1982"/>
      <c r="AE7" s="1982"/>
      <c r="AF7" s="2113"/>
      <c r="AG7" s="2064"/>
      <c r="AH7" s="2065"/>
      <c r="AI7" s="2065"/>
      <c r="AJ7" s="2065"/>
      <c r="AK7" s="2065"/>
      <c r="AL7" s="2065"/>
      <c r="AM7" s="2065"/>
      <c r="AN7" s="2065"/>
      <c r="AO7" s="2065"/>
      <c r="AP7" s="2066"/>
      <c r="AQ7" s="1179" t="s">
        <v>471</v>
      </c>
      <c r="AS7" s="426"/>
      <c r="AT7" s="426" t="str">
        <f t="shared" si="0"/>
        <v>Группа потребителей</v>
      </c>
      <c r="AU7" s="426"/>
      <c r="AV7" s="426"/>
    </row>
    <row r="8" spans="1:48" ht="21" hidden="1" customHeight="1">
      <c r="A8" s="1188"/>
      <c r="B8" s="1188"/>
      <c r="C8" s="1188"/>
      <c r="D8" s="1188"/>
      <c r="E8" s="2112"/>
      <c r="F8" s="2112"/>
      <c r="G8" s="2112"/>
      <c r="H8" s="2112"/>
      <c r="I8" s="1856"/>
      <c r="J8" s="1856"/>
      <c r="K8" s="1874" t="e">
        <f>J7&amp;".1"</f>
        <v>#N/A</v>
      </c>
      <c r="L8" s="61"/>
      <c r="M8" s="1230" t="s">
        <v>472</v>
      </c>
      <c r="N8" s="435"/>
      <c r="O8" s="249"/>
      <c r="P8" s="249"/>
      <c r="Q8" s="1995"/>
      <c r="R8" s="1995"/>
      <c r="S8" s="1995">
        <v>1</v>
      </c>
      <c r="T8" s="278"/>
      <c r="U8" s="1255" t="e">
        <f>$K8</f>
        <v>#N/A</v>
      </c>
      <c r="V8" s="1266"/>
      <c r="W8" s="214"/>
      <c r="X8" s="664"/>
      <c r="Y8" s="664"/>
      <c r="Z8" s="664"/>
      <c r="AA8" s="664"/>
      <c r="AB8" s="1323"/>
      <c r="AC8" s="2080"/>
      <c r="AD8" s="1885" t="s">
        <v>59</v>
      </c>
      <c r="AE8" s="2080"/>
      <c r="AF8" s="1885" t="s">
        <v>59</v>
      </c>
      <c r="AG8" s="1325"/>
      <c r="AH8" s="664"/>
      <c r="AI8" s="664"/>
      <c r="AJ8" s="664"/>
      <c r="AK8" s="1178"/>
      <c r="AL8" s="2080"/>
      <c r="AM8" s="1885" t="s">
        <v>59</v>
      </c>
      <c r="AN8" s="2080"/>
      <c r="AO8" s="1885" t="s">
        <v>59</v>
      </c>
      <c r="AP8" s="246"/>
      <c r="AQ8" s="1228" t="s">
        <v>522</v>
      </c>
      <c r="AR8" s="437" t="e">
        <f ca="1">STRCHECKDATE(X10:AP10)</f>
        <v>#NAME?</v>
      </c>
      <c r="AS8" s="426"/>
      <c r="AT8" s="426" t="str">
        <f t="shared" si="0"/>
        <v/>
      </c>
      <c r="AU8" s="426"/>
      <c r="AV8" s="426"/>
    </row>
    <row r="9" spans="1:48" ht="21" hidden="1" customHeight="1">
      <c r="A9" s="1188"/>
      <c r="B9" s="1188"/>
      <c r="C9" s="1188"/>
      <c r="D9" s="1188"/>
      <c r="E9" s="2112"/>
      <c r="F9" s="2112"/>
      <c r="G9" s="2112"/>
      <c r="H9" s="2112"/>
      <c r="I9" s="1856"/>
      <c r="J9" s="1856"/>
      <c r="K9" s="1856"/>
      <c r="L9" s="1874" t="e">
        <f>K8&amp;".1"</f>
        <v>#N/A</v>
      </c>
      <c r="M9" s="1230"/>
      <c r="N9" s="435"/>
      <c r="O9" s="249"/>
      <c r="P9" s="249"/>
      <c r="Q9" s="1995"/>
      <c r="R9" s="1995"/>
      <c r="S9" s="1995"/>
      <c r="T9" s="278"/>
      <c r="U9" s="1255" t="e">
        <f>$L9</f>
        <v>#N/A</v>
      </c>
      <c r="V9" s="1309"/>
      <c r="W9" s="214"/>
      <c r="X9" s="246"/>
      <c r="Y9" s="664"/>
      <c r="Z9" s="664"/>
      <c r="AA9" s="664"/>
      <c r="AB9" s="1323"/>
      <c r="AC9" s="2081"/>
      <c r="AD9" s="1885"/>
      <c r="AE9" s="2081"/>
      <c r="AF9" s="1885"/>
      <c r="AG9" s="1325"/>
      <c r="AH9" s="664"/>
      <c r="AI9" s="664"/>
      <c r="AJ9" s="664"/>
      <c r="AK9" s="1178"/>
      <c r="AL9" s="2081"/>
      <c r="AM9" s="1885"/>
      <c r="AN9" s="2081"/>
      <c r="AO9" s="1885"/>
      <c r="AP9" s="246"/>
      <c r="AQ9" s="2098" t="s">
        <v>523</v>
      </c>
      <c r="AS9" s="426"/>
      <c r="AT9" s="426"/>
      <c r="AU9" s="426"/>
      <c r="AV9" s="426"/>
    </row>
    <row r="10" spans="1:48" ht="14.25" hidden="1" customHeight="1">
      <c r="A10" s="1188"/>
      <c r="B10" s="1188"/>
      <c r="C10" s="1188"/>
      <c r="D10" s="1188"/>
      <c r="E10" s="2112"/>
      <c r="F10" s="2112"/>
      <c r="G10" s="2112"/>
      <c r="H10" s="2112"/>
      <c r="I10" s="1856"/>
      <c r="J10" s="1856"/>
      <c r="K10" s="1856"/>
      <c r="L10" s="1874"/>
      <c r="M10" s="1230"/>
      <c r="N10" s="435"/>
      <c r="O10" s="249"/>
      <c r="P10" s="249"/>
      <c r="Q10" s="1995"/>
      <c r="R10" s="1995"/>
      <c r="S10" s="1995"/>
      <c r="T10" s="278"/>
      <c r="U10" s="1261"/>
      <c r="V10" s="214"/>
      <c r="W10" s="214"/>
      <c r="X10" s="246"/>
      <c r="Y10" s="246"/>
      <c r="Z10" s="246"/>
      <c r="AA10" s="246"/>
      <c r="AB10" s="1324" t="str">
        <f>AC8&amp;"-"&amp;AE8</f>
        <v>-</v>
      </c>
      <c r="AC10" s="2081"/>
      <c r="AD10" s="1885"/>
      <c r="AE10" s="2081"/>
      <c r="AF10" s="1885"/>
      <c r="AG10" s="1300"/>
      <c r="AH10" s="246"/>
      <c r="AI10" s="246"/>
      <c r="AJ10" s="246"/>
      <c r="AK10" s="250" t="str">
        <f>AL8&amp;"-"&amp;AN8</f>
        <v>-</v>
      </c>
      <c r="AL10" s="2081"/>
      <c r="AM10" s="1885"/>
      <c r="AN10" s="2081"/>
      <c r="AO10" s="1885"/>
      <c r="AP10" s="246"/>
      <c r="AQ10" s="2099"/>
      <c r="AS10" s="426"/>
      <c r="AT10" s="426" t="str">
        <f>IF(V10="","",V10)</f>
        <v/>
      </c>
      <c r="AU10" s="426"/>
      <c r="AV10" s="426"/>
    </row>
    <row r="11" spans="1:48" ht="11.25" hidden="1" customHeight="1">
      <c r="A11" s="1188"/>
      <c r="B11" s="1188"/>
      <c r="C11" s="1188"/>
      <c r="D11" s="1188"/>
      <c r="E11" s="2112"/>
      <c r="F11" s="2112"/>
      <c r="G11" s="2112"/>
      <c r="H11" s="2112"/>
      <c r="I11" s="1856"/>
      <c r="J11" s="1856"/>
      <c r="K11" s="1874"/>
      <c r="L11" s="1188"/>
      <c r="M11" s="1230"/>
      <c r="N11" s="435"/>
      <c r="O11" s="249"/>
      <c r="P11" s="249"/>
      <c r="Q11" s="1995"/>
      <c r="R11" s="1995"/>
      <c r="S11" s="1995"/>
      <c r="T11" s="278"/>
      <c r="U11" s="1200"/>
      <c r="V11" s="203" t="s">
        <v>524</v>
      </c>
      <c r="W11" s="1310"/>
      <c r="X11" s="1311"/>
      <c r="Y11" s="1311"/>
      <c r="Z11" s="1311"/>
      <c r="AA11" s="1311"/>
      <c r="AB11" s="1312"/>
      <c r="AC11" s="2081"/>
      <c r="AD11" s="1885"/>
      <c r="AE11" s="2081"/>
      <c r="AF11" s="1885"/>
      <c r="AG11" s="1311"/>
      <c r="AH11" s="1311"/>
      <c r="AI11" s="1311"/>
      <c r="AJ11" s="1311"/>
      <c r="AK11" s="1312"/>
      <c r="AL11" s="2081"/>
      <c r="AM11" s="1885"/>
      <c r="AN11" s="2081"/>
      <c r="AO11" s="1885"/>
      <c r="AP11" s="1313"/>
      <c r="AQ11" s="2099"/>
      <c r="AS11" s="426"/>
      <c r="AT11" s="426"/>
      <c r="AU11" s="426"/>
      <c r="AV11" s="426"/>
    </row>
    <row r="12" spans="1:48" ht="15" hidden="1" customHeight="1">
      <c r="A12" s="1188"/>
      <c r="B12" s="1188"/>
      <c r="C12" s="1188"/>
      <c r="D12" s="1188"/>
      <c r="E12" s="2112"/>
      <c r="F12" s="2112"/>
      <c r="G12" s="2112"/>
      <c r="H12" s="2112"/>
      <c r="I12" s="1856"/>
      <c r="J12" s="1874"/>
      <c r="K12" s="1188"/>
      <c r="L12" s="1188"/>
      <c r="M12" s="1230"/>
      <c r="N12" s="435"/>
      <c r="O12" s="249"/>
      <c r="Q12" s="1995"/>
      <c r="R12" s="1995"/>
      <c r="S12" s="1250"/>
      <c r="T12" s="277"/>
      <c r="U12" s="1200"/>
      <c r="V12" s="202" t="s">
        <v>474</v>
      </c>
      <c r="W12" s="291"/>
      <c r="X12" s="291"/>
      <c r="Y12" s="291"/>
      <c r="Z12" s="291"/>
      <c r="AA12" s="291"/>
      <c r="AB12" s="291"/>
      <c r="AC12" s="1326"/>
      <c r="AD12" s="1326"/>
      <c r="AE12" s="1326"/>
      <c r="AF12" s="1326"/>
      <c r="AG12" s="291"/>
      <c r="AH12" s="291"/>
      <c r="AI12" s="291"/>
      <c r="AJ12" s="291"/>
      <c r="AK12" s="291"/>
      <c r="AL12" s="291"/>
      <c r="AM12" s="291"/>
      <c r="AN12" s="291"/>
      <c r="AO12" s="291"/>
      <c r="AP12" s="245"/>
      <c r="AQ12" s="2100"/>
      <c r="AS12" s="426"/>
      <c r="AT12" s="426" t="str">
        <f t="shared" ref="AT12:AT17" si="1">IF(V12="","",V12)</f>
        <v>Добавить вид теплоносителя (параметры теплоносителя)</v>
      </c>
      <c r="AU12" s="426"/>
      <c r="AV12" s="426"/>
    </row>
    <row r="13" spans="1:48" ht="11.25" hidden="1" customHeight="1">
      <c r="A13" s="1188"/>
      <c r="B13" s="1188"/>
      <c r="C13" s="1188"/>
      <c r="D13" s="1188"/>
      <c r="E13" s="2112"/>
      <c r="F13" s="2112"/>
      <c r="G13" s="2112"/>
      <c r="H13" s="2112"/>
      <c r="I13" s="1874"/>
      <c r="J13" s="1188"/>
      <c r="K13" s="1188"/>
      <c r="L13" s="1188"/>
      <c r="M13" s="1230"/>
      <c r="N13" s="435"/>
      <c r="Q13" s="1995"/>
      <c r="R13" s="1250"/>
      <c r="S13" s="1250"/>
      <c r="T13" s="277"/>
      <c r="U13" s="1200"/>
      <c r="V13" s="288" t="s">
        <v>475</v>
      </c>
      <c r="W13" s="291"/>
      <c r="X13" s="291"/>
      <c r="Y13" s="291"/>
      <c r="Z13" s="291"/>
      <c r="AA13" s="291"/>
      <c r="AB13" s="291"/>
      <c r="AC13" s="291"/>
      <c r="AD13" s="291"/>
      <c r="AE13" s="291"/>
      <c r="AF13" s="290"/>
      <c r="AG13" s="291"/>
      <c r="AH13" s="291"/>
      <c r="AI13" s="291"/>
      <c r="AJ13" s="291"/>
      <c r="AK13" s="291"/>
      <c r="AL13" s="291"/>
      <c r="AM13" s="291"/>
      <c r="AN13" s="291"/>
      <c r="AO13" s="290"/>
      <c r="AP13" s="291"/>
      <c r="AQ13" s="217"/>
      <c r="AS13" s="426"/>
      <c r="AT13" s="426" t="str">
        <f t="shared" si="1"/>
        <v>Добавить группу потребителей</v>
      </c>
      <c r="AU13" s="426"/>
      <c r="AV13" s="426"/>
    </row>
    <row r="14" spans="1:48" ht="14.25" hidden="1" customHeight="1">
      <c r="A14" s="1188"/>
      <c r="B14" s="1188"/>
      <c r="C14" s="1188"/>
      <c r="D14" s="1188"/>
      <c r="E14" s="2112"/>
      <c r="F14" s="2112"/>
      <c r="G14" s="2112"/>
      <c r="H14" s="2111"/>
      <c r="I14" s="1188"/>
      <c r="J14" s="1188"/>
      <c r="K14" s="1188"/>
      <c r="L14" s="1188"/>
      <c r="M14" s="1230"/>
      <c r="N14" s="604"/>
      <c r="O14" s="604"/>
      <c r="P14" s="435"/>
      <c r="Q14" s="281"/>
      <c r="R14" s="299"/>
      <c r="S14" s="276"/>
      <c r="T14" s="281"/>
      <c r="U14" s="1304"/>
      <c r="V14" s="1305"/>
      <c r="W14" s="1306"/>
      <c r="X14" s="1306"/>
      <c r="Y14" s="1306"/>
      <c r="Z14" s="1306"/>
      <c r="AA14" s="1306"/>
      <c r="AB14" s="1306"/>
      <c r="AC14" s="1306"/>
      <c r="AD14" s="1306"/>
      <c r="AE14" s="1306"/>
      <c r="AF14" s="1306"/>
      <c r="AG14" s="1306"/>
      <c r="AH14" s="1306"/>
      <c r="AI14" s="1306"/>
      <c r="AJ14" s="1306"/>
      <c r="AK14" s="1306"/>
      <c r="AL14" s="1306"/>
      <c r="AM14" s="1306"/>
      <c r="AN14" s="1306"/>
      <c r="AO14" s="1306"/>
      <c r="AP14" s="1306"/>
      <c r="AQ14" s="1307"/>
      <c r="AS14" s="426"/>
      <c r="AT14" s="426" t="str">
        <f t="shared" si="1"/>
        <v/>
      </c>
      <c r="AU14" s="426"/>
      <c r="AV14" s="426"/>
    </row>
    <row r="15" spans="1:48" s="1559" customFormat="1" ht="14.25" hidden="1" customHeight="1">
      <c r="A15" s="1292"/>
      <c r="B15" s="1292"/>
      <c r="C15" s="1292"/>
      <c r="D15" s="1292"/>
      <c r="E15" s="2112"/>
      <c r="F15" s="2112"/>
      <c r="G15" s="2111"/>
      <c r="H15" s="1292"/>
      <c r="I15" s="1292"/>
      <c r="J15" s="1292"/>
      <c r="K15" s="1292"/>
      <c r="L15" s="1292"/>
      <c r="M15" s="1295"/>
      <c r="N15" s="1296"/>
      <c r="O15" s="1296"/>
      <c r="P15" s="272"/>
      <c r="Q15" s="1236"/>
      <c r="R15" s="1237"/>
      <c r="S15" s="1236"/>
      <c r="T15" s="1236"/>
      <c r="U15" s="1238"/>
      <c r="V15" s="1239" t="s">
        <v>433</v>
      </c>
      <c r="W15" s="1240"/>
      <c r="X15" s="1240"/>
      <c r="Y15" s="1240"/>
      <c r="Z15" s="1240"/>
      <c r="AA15" s="1240"/>
      <c r="AB15" s="1240"/>
      <c r="AC15" s="1240"/>
      <c r="AD15" s="1240"/>
      <c r="AE15" s="1240"/>
      <c r="AF15" s="1240"/>
      <c r="AG15" s="1240"/>
      <c r="AH15" s="1240"/>
      <c r="AI15" s="1240"/>
      <c r="AJ15" s="1240"/>
      <c r="AK15" s="1240"/>
      <c r="AL15" s="1240"/>
      <c r="AM15" s="1240"/>
      <c r="AN15" s="1240"/>
      <c r="AO15" s="1240"/>
      <c r="AP15" s="1240"/>
      <c r="AQ15" s="1240"/>
      <c r="AS15" s="702"/>
      <c r="AT15" s="702" t="str">
        <f t="shared" si="1"/>
        <v>Добавить источник для дифференциации</v>
      </c>
      <c r="AU15" s="702"/>
      <c r="AV15" s="702"/>
    </row>
    <row r="16" spans="1:48" s="1559" customFormat="1" ht="14.25" hidden="1" customHeight="1">
      <c r="A16" s="1292"/>
      <c r="B16" s="1292"/>
      <c r="C16" s="1292"/>
      <c r="D16" s="1292"/>
      <c r="E16" s="2112"/>
      <c r="F16" s="2111"/>
      <c r="G16" s="1292"/>
      <c r="H16" s="1292"/>
      <c r="I16" s="1292"/>
      <c r="J16" s="1292"/>
      <c r="K16" s="1292"/>
      <c r="L16" s="1292"/>
      <c r="M16" s="1295"/>
      <c r="N16" s="1297"/>
      <c r="O16" s="1297"/>
      <c r="P16" s="272"/>
      <c r="Q16" s="1236"/>
      <c r="R16" s="1237"/>
      <c r="S16" s="1236"/>
      <c r="T16" s="1236"/>
      <c r="U16" s="1242"/>
      <c r="V16" s="1243" t="s">
        <v>434</v>
      </c>
      <c r="W16" s="1244"/>
      <c r="X16" s="1244"/>
      <c r="Y16" s="1244"/>
      <c r="Z16" s="1244"/>
      <c r="AA16" s="1244"/>
      <c r="AB16" s="1244"/>
      <c r="AC16" s="1244"/>
      <c r="AD16" s="1244"/>
      <c r="AE16" s="1244"/>
      <c r="AF16" s="1244"/>
      <c r="AG16" s="1244"/>
      <c r="AH16" s="1244"/>
      <c r="AI16" s="1244"/>
      <c r="AJ16" s="1244"/>
      <c r="AK16" s="1244"/>
      <c r="AL16" s="1244"/>
      <c r="AM16" s="1244"/>
      <c r="AN16" s="1244"/>
      <c r="AO16" s="1244"/>
      <c r="AP16" s="1244"/>
      <c r="AQ16" s="1244"/>
      <c r="AS16" s="702"/>
      <c r="AT16" s="702" t="str">
        <f t="shared" si="1"/>
        <v>Добавить централизованную систему для дифференциации</v>
      </c>
      <c r="AU16" s="702"/>
      <c r="AV16" s="702"/>
    </row>
    <row r="17" spans="1:48" s="1559" customFormat="1" ht="14.25" hidden="1" customHeight="1">
      <c r="A17" s="1292"/>
      <c r="B17" s="1292"/>
      <c r="C17" s="1292"/>
      <c r="D17" s="1292"/>
      <c r="E17" s="2111"/>
      <c r="F17" s="1292"/>
      <c r="G17" s="1292"/>
      <c r="H17" s="1292"/>
      <c r="I17" s="1292"/>
      <c r="J17" s="1292"/>
      <c r="K17" s="1292"/>
      <c r="L17" s="1292"/>
      <c r="M17" s="1295"/>
      <c r="N17" s="1297"/>
      <c r="O17" s="1297"/>
      <c r="P17" s="272"/>
      <c r="Q17" s="1236"/>
      <c r="R17" s="1237"/>
      <c r="S17" s="1236"/>
      <c r="T17" s="1236"/>
      <c r="U17" s="1242"/>
      <c r="V17" s="1245" t="s">
        <v>435</v>
      </c>
      <c r="W17" s="1244"/>
      <c r="X17" s="1244"/>
      <c r="Y17" s="1244"/>
      <c r="Z17" s="1244"/>
      <c r="AA17" s="1244"/>
      <c r="AB17" s="1244"/>
      <c r="AC17" s="1244"/>
      <c r="AD17" s="1244"/>
      <c r="AE17" s="1244"/>
      <c r="AF17" s="1244"/>
      <c r="AG17" s="1244"/>
      <c r="AH17" s="1244"/>
      <c r="AI17" s="1244"/>
      <c r="AJ17" s="1244"/>
      <c r="AK17" s="1244"/>
      <c r="AL17" s="1244"/>
      <c r="AM17" s="1244"/>
      <c r="AN17" s="1244"/>
      <c r="AO17" s="1244"/>
      <c r="AP17" s="1244"/>
      <c r="AQ17" s="1244"/>
      <c r="AS17" s="702"/>
      <c r="AT17" s="702" t="str">
        <f t="shared" si="1"/>
        <v>Добавить территорию для дифференциации</v>
      </c>
      <c r="AU17" s="702"/>
      <c r="AV17" s="702"/>
    </row>
    <row r="18" spans="1:48" ht="14.25" hidden="1" customHeight="1">
      <c r="AF18" s="249"/>
      <c r="AO18" s="249"/>
    </row>
    <row r="19" spans="1:48" ht="14.25" hidden="1" customHeight="1">
      <c r="AG19" s="1278"/>
      <c r="AH19" s="1278"/>
      <c r="AI19" s="1278"/>
      <c r="AJ19" s="1278"/>
      <c r="AK19" s="1279"/>
      <c r="AL19" s="2074"/>
      <c r="AM19" s="2073" t="s">
        <v>59</v>
      </c>
      <c r="AN19" s="2074"/>
      <c r="AO19" s="2073" t="s">
        <v>59</v>
      </c>
    </row>
    <row r="20" spans="1:48" ht="14.25" hidden="1" customHeight="1">
      <c r="AG20" s="1278"/>
      <c r="AH20" s="1278"/>
      <c r="AI20" s="1278"/>
      <c r="AJ20" s="1278"/>
      <c r="AK20" s="1279"/>
      <c r="AL20" s="2074"/>
      <c r="AM20" s="2073"/>
      <c r="AN20" s="2074"/>
      <c r="AO20" s="2073"/>
    </row>
    <row r="21" spans="1:48" ht="14.25" hidden="1" customHeight="1">
      <c r="AG21" s="1278"/>
      <c r="AH21" s="1278"/>
      <c r="AI21" s="1278"/>
      <c r="AJ21" s="1278"/>
      <c r="AK21" s="1279"/>
      <c r="AL21" s="2074"/>
      <c r="AM21" s="2073"/>
      <c r="AN21" s="2074"/>
      <c r="AO21" s="2073"/>
    </row>
    <row r="22" spans="1:48" ht="14.25" hidden="1" customHeight="1">
      <c r="AG22" s="1278"/>
      <c r="AH22" s="1278"/>
      <c r="AI22" s="1278"/>
      <c r="AJ22" s="1278"/>
      <c r="AK22" s="250" t="str">
        <f>AL19&amp;"-"&amp;AN19</f>
        <v>-</v>
      </c>
      <c r="AL22" s="2073"/>
      <c r="AM22" s="2073"/>
      <c r="AN22" s="2073"/>
      <c r="AO22" s="2073"/>
    </row>
    <row r="23" spans="1:48" ht="14.25" hidden="1" customHeight="1">
      <c r="AO23" s="249"/>
    </row>
    <row r="24" spans="1:48" s="1284" customFormat="1" ht="22.5" hidden="1" customHeight="1">
      <c r="A24" s="1057"/>
      <c r="B24" s="1057"/>
      <c r="C24" s="1057"/>
      <c r="D24" s="1057"/>
      <c r="E24" s="1057"/>
      <c r="F24" s="1057"/>
      <c r="G24" s="1057"/>
      <c r="H24" s="1057"/>
      <c r="I24" s="1057"/>
      <c r="J24" s="1057"/>
      <c r="K24" s="1057"/>
      <c r="L24" s="1057"/>
      <c r="M24" s="1246"/>
      <c r="N24" s="1247"/>
      <c r="O24" s="1247"/>
      <c r="P24" s="1264" t="s">
        <v>477</v>
      </c>
      <c r="Q24" s="1280"/>
      <c r="R24" s="1289"/>
      <c r="S24" s="1289"/>
      <c r="T24" s="1289"/>
      <c r="U24" s="645"/>
      <c r="AC24" s="1285"/>
      <c r="AE24" s="1285"/>
      <c r="AL24" s="1285"/>
      <c r="AN24" s="1285"/>
      <c r="AR24" s="437"/>
      <c r="AS24" s="437"/>
      <c r="AT24" s="437"/>
      <c r="AU24" s="437"/>
      <c r="AV24" s="437"/>
    </row>
    <row r="25" spans="1:48" s="1284" customFormat="1" ht="14.25" hidden="1" customHeight="1">
      <c r="A25" s="1057"/>
      <c r="B25" s="1057"/>
      <c r="C25" s="1057"/>
      <c r="D25" s="1057"/>
      <c r="E25" s="1057"/>
      <c r="F25" s="1057"/>
      <c r="G25" s="1057"/>
      <c r="H25" s="1057"/>
      <c r="I25" s="1057"/>
      <c r="J25" s="1057"/>
      <c r="K25" s="1057"/>
      <c r="L25" s="1057"/>
      <c r="M25" s="1246"/>
      <c r="N25" s="1247"/>
      <c r="O25" s="1247"/>
      <c r="P25" s="1247"/>
      <c r="Q25" s="1280"/>
      <c r="R25" s="1289"/>
      <c r="S25" s="1289"/>
      <c r="T25" s="1289"/>
      <c r="U25" s="645"/>
      <c r="AR25" s="437"/>
      <c r="AS25" s="437"/>
      <c r="AT25" s="437"/>
      <c r="AU25" s="437"/>
      <c r="AV25" s="437"/>
    </row>
    <row r="26" spans="1:48" s="1284" customFormat="1" ht="14.25" hidden="1" customHeight="1">
      <c r="A26" s="1057"/>
      <c r="B26" s="1057"/>
      <c r="C26" s="1057"/>
      <c r="D26" s="1057"/>
      <c r="E26" s="1057"/>
      <c r="F26" s="1057"/>
      <c r="G26" s="1057"/>
      <c r="H26" s="1057"/>
      <c r="I26" s="1057"/>
      <c r="J26" s="1057"/>
      <c r="K26" s="1057"/>
      <c r="L26" s="1057"/>
      <c r="M26" s="1246"/>
      <c r="N26" s="1247"/>
      <c r="O26" s="1247"/>
      <c r="P26" s="1230" t="s">
        <v>478</v>
      </c>
      <c r="Q26" s="1280"/>
      <c r="R26" s="1289"/>
      <c r="S26" s="1289"/>
      <c r="T26" s="1289"/>
      <c r="U26" s="645"/>
      <c r="V26" s="1062" t="s">
        <v>479</v>
      </c>
      <c r="AD26" s="104" t="s">
        <v>480</v>
      </c>
      <c r="AF26" s="104" t="s">
        <v>481</v>
      </c>
      <c r="AG26" s="1062" t="s">
        <v>479</v>
      </c>
      <c r="AM26" s="104" t="s">
        <v>482</v>
      </c>
      <c r="AO26" s="104" t="s">
        <v>481</v>
      </c>
      <c r="AR26" s="437"/>
      <c r="AS26" s="437"/>
      <c r="AT26" s="437"/>
      <c r="AU26" s="437"/>
      <c r="AV26" s="437"/>
    </row>
    <row r="27" spans="1:48" ht="14.25" hidden="1" customHeight="1">
      <c r="P27" s="1230"/>
    </row>
    <row r="28" spans="1:48" ht="14.25" hidden="1" customHeight="1">
      <c r="P28" s="1230"/>
    </row>
    <row r="29" spans="1:48" ht="14.25" customHeight="1">
      <c r="R29" s="300"/>
      <c r="S29" s="300"/>
      <c r="T29" s="300"/>
      <c r="U29" s="1197"/>
      <c r="V29" s="286"/>
      <c r="W29" s="286"/>
      <c r="X29" s="435"/>
      <c r="Y29" s="435"/>
      <c r="Z29" s="435"/>
      <c r="AA29" s="435"/>
      <c r="AB29" s="435"/>
      <c r="AC29" s="435"/>
      <c r="AD29" s="435"/>
      <c r="AE29" s="435"/>
      <c r="AF29" s="435"/>
      <c r="AG29" s="435"/>
      <c r="AH29" s="435"/>
      <c r="AI29" s="435"/>
      <c r="AJ29" s="435"/>
      <c r="AK29" s="435"/>
      <c r="AL29" s="435"/>
      <c r="AM29" s="435"/>
      <c r="AN29" s="435"/>
      <c r="AO29" s="435"/>
    </row>
    <row r="30" spans="1:48" ht="64.5" customHeight="1">
      <c r="R30" s="300"/>
      <c r="S30" s="300"/>
      <c r="T30" s="300"/>
      <c r="U30" s="2101" t="str">
        <f>IF(TEMPLATE_GROUP="P",PT_P_FORM_HEAT_6_NAME_FORM,PT_R_FORM_HEAT_23_NAME_FORM)</f>
        <v>Форма 21. Информация о предложении регулируемой организации о расчетной величине тарифов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расчетной величине тарифов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v>
      </c>
      <c r="V30" s="2101"/>
      <c r="W30" s="2101"/>
      <c r="X30" s="2101"/>
      <c r="Y30" s="2101"/>
      <c r="Z30" s="2101"/>
      <c r="AA30" s="2101"/>
      <c r="AB30" s="2101"/>
      <c r="AC30" s="2101"/>
      <c r="AD30" s="2101"/>
      <c r="AE30" s="2101"/>
      <c r="AF30" s="2101"/>
      <c r="AG30" s="2101"/>
      <c r="AH30" s="2101"/>
      <c r="AI30" s="2101"/>
      <c r="AJ30" s="2101"/>
      <c r="AK30" s="2101"/>
      <c r="AL30" s="2101"/>
      <c r="AM30" s="2101"/>
      <c r="AN30" s="2101"/>
      <c r="AO30" s="1154"/>
    </row>
    <row r="31" spans="1:48" ht="14.25" customHeight="1">
      <c r="R31" s="300"/>
      <c r="S31" s="300"/>
      <c r="T31" s="300"/>
      <c r="U31" s="1961" t="str">
        <f>IF(org=0,"Не определено",org)</f>
        <v>АО СЗ "КМАпроектжилстрой"</v>
      </c>
      <c r="V31" s="1961"/>
      <c r="W31" s="1961"/>
      <c r="X31" s="1961"/>
      <c r="Y31" s="1961"/>
      <c r="Z31" s="1961"/>
      <c r="AA31" s="1961"/>
      <c r="AB31" s="1961"/>
      <c r="AC31" s="1961"/>
      <c r="AD31" s="1961"/>
      <c r="AE31" s="1961"/>
      <c r="AF31" s="1961"/>
      <c r="AG31" s="1961"/>
      <c r="AH31" s="1961"/>
      <c r="AI31" s="1961"/>
      <c r="AJ31" s="1961"/>
      <c r="AK31" s="1961"/>
      <c r="AL31" s="1961"/>
      <c r="AM31" s="1961"/>
      <c r="AN31" s="1961"/>
      <c r="AO31" s="1154"/>
    </row>
    <row r="32" spans="1:48" ht="14.25" hidden="1" customHeight="1">
      <c r="R32" s="300"/>
      <c r="S32" s="300"/>
      <c r="T32" s="300"/>
      <c r="U32" s="1197"/>
      <c r="V32" s="286"/>
      <c r="W32" s="286"/>
      <c r="X32" s="242"/>
      <c r="Y32" s="242"/>
      <c r="Z32" s="242"/>
      <c r="AA32" s="242"/>
      <c r="AB32" s="242"/>
      <c r="AC32" s="242"/>
      <c r="AD32" s="242"/>
      <c r="AE32" s="242"/>
      <c r="AF32" s="242"/>
      <c r="AG32" s="242"/>
      <c r="AH32" s="242"/>
      <c r="AI32" s="242"/>
      <c r="AJ32" s="242"/>
      <c r="AK32" s="242"/>
      <c r="AL32" s="242"/>
      <c r="AM32" s="242"/>
      <c r="AN32" s="242"/>
      <c r="AO32" s="242"/>
      <c r="AP32" s="435"/>
    </row>
    <row r="33" spans="1:48" s="1773" customFormat="1" ht="25.5" hidden="1" customHeight="1">
      <c r="A33" s="1160"/>
      <c r="B33" s="1160"/>
      <c r="C33" s="1160"/>
      <c r="D33" s="1160"/>
      <c r="E33" s="1160"/>
      <c r="F33" s="1160"/>
      <c r="G33" s="1160"/>
      <c r="H33" s="1160"/>
      <c r="I33" s="1160"/>
      <c r="J33" s="1160"/>
      <c r="K33" s="1160"/>
      <c r="L33" s="1160"/>
      <c r="M33" s="1298"/>
      <c r="N33" s="1160"/>
      <c r="O33" s="1160"/>
      <c r="P33" s="1160"/>
      <c r="U33" s="2067" t="s">
        <v>40</v>
      </c>
      <c r="V33" s="2067"/>
      <c r="W33" s="1290"/>
      <c r="X33" s="2069" t="str">
        <f>IF(TITLE_NAME_OR_PR_CHANGE="",IF(TITLE_NAME_OR_PR="","",TITLE_NAME_OR_PR),TITLE_NAME_OR_PR_CHANGE)</f>
        <v/>
      </c>
      <c r="Y33" s="2069"/>
      <c r="Z33" s="2069"/>
      <c r="AA33" s="2069"/>
      <c r="AB33" s="2069"/>
      <c r="AC33" s="2069"/>
      <c r="AD33" s="2069"/>
      <c r="AE33" s="2069"/>
      <c r="AF33" s="248"/>
      <c r="AG33" s="2069" t="str">
        <f>IF(TITLE_NAME_OR_PR_CHANGE="",IF(TITLE_NAME_OR_PR="","",TITLE_NAME_OR_PR),TITLE_NAME_OR_PR_CHANGE)</f>
        <v/>
      </c>
      <c r="AH33" s="2069"/>
      <c r="AI33" s="2069"/>
      <c r="AJ33" s="2069"/>
      <c r="AK33" s="2069"/>
      <c r="AL33" s="2069"/>
      <c r="AM33" s="2069"/>
      <c r="AN33" s="2069"/>
      <c r="AO33" s="248"/>
      <c r="AP33" s="248"/>
      <c r="AQ33" s="196"/>
      <c r="AR33" s="292"/>
      <c r="AS33" s="292"/>
      <c r="AT33" s="292"/>
      <c r="AU33" s="292"/>
      <c r="AV33" s="292"/>
    </row>
    <row r="34" spans="1:48" s="1773" customFormat="1" ht="18.75" hidden="1" customHeight="1">
      <c r="A34" s="1160"/>
      <c r="B34" s="1160"/>
      <c r="C34" s="1160"/>
      <c r="D34" s="1160"/>
      <c r="E34" s="1160"/>
      <c r="F34" s="1160"/>
      <c r="G34" s="1160"/>
      <c r="H34" s="1160"/>
      <c r="I34" s="1160"/>
      <c r="J34" s="1160"/>
      <c r="K34" s="1160"/>
      <c r="L34" s="1160"/>
      <c r="M34" s="1298"/>
      <c r="N34" s="1160"/>
      <c r="O34" s="1160"/>
      <c r="P34" s="1160"/>
      <c r="U34" s="2067" t="s">
        <v>483</v>
      </c>
      <c r="V34" s="2067"/>
      <c r="W34" s="1290"/>
      <c r="X34" s="2068" t="str">
        <f>IF(TITLE_DATE_CHANGE_PERIOD="",IF(TITLE_DATE_PR="","",TITLE_DATE_PR),TITLE_DATE_CHANGE_PERIOD)</f>
        <v/>
      </c>
      <c r="Y34" s="2068"/>
      <c r="Z34" s="2068"/>
      <c r="AA34" s="2068"/>
      <c r="AB34" s="2068"/>
      <c r="AC34" s="2068"/>
      <c r="AD34" s="2068"/>
      <c r="AE34" s="2068"/>
      <c r="AF34" s="248"/>
      <c r="AG34" s="2068" t="str">
        <f>IF(TITLE_DATE_CHANGE_PERIOD="",IF(TITLE_DATE_PR="","",TITLE_DATE_PR),TITLE_DATE_CHANGE_PERIOD)</f>
        <v/>
      </c>
      <c r="AH34" s="2068"/>
      <c r="AI34" s="2068"/>
      <c r="AJ34" s="2068"/>
      <c r="AK34" s="2068"/>
      <c r="AL34" s="2068"/>
      <c r="AM34" s="2068"/>
      <c r="AN34" s="2068"/>
      <c r="AO34" s="248"/>
      <c r="AP34" s="248"/>
      <c r="AQ34" s="196"/>
      <c r="AR34" s="292"/>
      <c r="AS34" s="292"/>
      <c r="AT34" s="292"/>
      <c r="AU34" s="292"/>
      <c r="AV34" s="292"/>
    </row>
    <row r="35" spans="1:48" s="1773" customFormat="1" ht="18.75" hidden="1" customHeight="1">
      <c r="A35" s="1160"/>
      <c r="B35" s="1160"/>
      <c r="C35" s="1160"/>
      <c r="D35" s="1160"/>
      <c r="E35" s="1160"/>
      <c r="F35" s="1160"/>
      <c r="G35" s="1160"/>
      <c r="H35" s="1160"/>
      <c r="I35" s="1160"/>
      <c r="J35" s="1160"/>
      <c r="K35" s="1160"/>
      <c r="L35" s="1160"/>
      <c r="M35" s="1298"/>
      <c r="N35" s="1160"/>
      <c r="O35" s="1160"/>
      <c r="P35" s="1160"/>
      <c r="U35" s="2067" t="s">
        <v>484</v>
      </c>
      <c r="V35" s="2067"/>
      <c r="W35" s="1290"/>
      <c r="X35" s="2069" t="str">
        <f>IF(TITLE_NUMBER_PR_CHANGE="",IF(TITLE_NUMBER_PR="","",TITLE_NUMBER_PR),TITLE_NUMBER_PR_CHANGE)</f>
        <v/>
      </c>
      <c r="Y35" s="2069"/>
      <c r="Z35" s="2069"/>
      <c r="AA35" s="2069"/>
      <c r="AB35" s="2069"/>
      <c r="AC35" s="2069"/>
      <c r="AD35" s="2069"/>
      <c r="AE35" s="2069"/>
      <c r="AF35" s="248"/>
      <c r="AG35" s="2069" t="str">
        <f>IF(TITLE_NUMBER_PR_CHANGE="",IF(TITLE_NUMBER_PR="","",TITLE_NUMBER_PR),TITLE_NUMBER_PR_CHANGE)</f>
        <v/>
      </c>
      <c r="AH35" s="2069"/>
      <c r="AI35" s="2069"/>
      <c r="AJ35" s="2069"/>
      <c r="AK35" s="2069"/>
      <c r="AL35" s="2069"/>
      <c r="AM35" s="2069"/>
      <c r="AN35" s="2069"/>
      <c r="AO35" s="248"/>
      <c r="AP35" s="248"/>
      <c r="AQ35" s="196"/>
      <c r="AR35" s="292"/>
      <c r="AS35" s="292"/>
      <c r="AT35" s="292"/>
      <c r="AU35" s="292"/>
      <c r="AV35" s="292"/>
    </row>
    <row r="36" spans="1:48" s="1773" customFormat="1" ht="18.75" hidden="1" customHeight="1">
      <c r="A36" s="1160"/>
      <c r="B36" s="1160"/>
      <c r="C36" s="1160"/>
      <c r="D36" s="1160"/>
      <c r="E36" s="1160"/>
      <c r="F36" s="1160"/>
      <c r="G36" s="1160"/>
      <c r="H36" s="1160"/>
      <c r="I36" s="1160"/>
      <c r="J36" s="1160"/>
      <c r="K36" s="1160"/>
      <c r="L36" s="1160"/>
      <c r="M36" s="1298"/>
      <c r="N36" s="1160"/>
      <c r="O36" s="1160"/>
      <c r="P36" s="1160"/>
      <c r="U36" s="2067" t="s">
        <v>41</v>
      </c>
      <c r="V36" s="2067"/>
      <c r="W36" s="1290"/>
      <c r="X36" s="2069" t="str">
        <f>IF(TITLE_IST_PUB_CHANGE="",IF(TITLE_IST_PUB="","",TITLE_IST_PUB),TITLE_IST_PUB_CHANGE)</f>
        <v/>
      </c>
      <c r="Y36" s="2069"/>
      <c r="Z36" s="2069"/>
      <c r="AA36" s="2069"/>
      <c r="AB36" s="2069"/>
      <c r="AC36" s="2069"/>
      <c r="AD36" s="2069"/>
      <c r="AE36" s="2069"/>
      <c r="AF36" s="248"/>
      <c r="AG36" s="2069" t="str">
        <f>IF(TITLE_IST_PUB_CHANGE="",IF(TITLE_IST_PUB="","",TITLE_IST_PUB),TITLE_IST_PUB_CHANGE)</f>
        <v/>
      </c>
      <c r="AH36" s="2069"/>
      <c r="AI36" s="2069"/>
      <c r="AJ36" s="2069"/>
      <c r="AK36" s="2069"/>
      <c r="AL36" s="2069"/>
      <c r="AM36" s="2069"/>
      <c r="AN36" s="2069"/>
      <c r="AO36" s="248"/>
      <c r="AP36" s="248"/>
      <c r="AQ36" s="196"/>
      <c r="AR36" s="292"/>
      <c r="AS36" s="292"/>
      <c r="AT36" s="292"/>
      <c r="AU36" s="292"/>
      <c r="AV36" s="292"/>
    </row>
    <row r="37" spans="1:48" ht="14.25" hidden="1" customHeight="1">
      <c r="R37" s="300"/>
      <c r="S37" s="300"/>
      <c r="T37" s="300"/>
      <c r="U37" s="1197"/>
      <c r="V37" s="286"/>
      <c r="W37" s="286"/>
      <c r="X37" s="242"/>
      <c r="Y37" s="242"/>
      <c r="Z37" s="242"/>
      <c r="AA37" s="242"/>
      <c r="AB37" s="242"/>
      <c r="AC37" s="242"/>
      <c r="AD37" s="242"/>
      <c r="AE37" s="242"/>
      <c r="AF37" s="242"/>
      <c r="AG37" s="242"/>
      <c r="AH37" s="242"/>
      <c r="AI37" s="242"/>
      <c r="AJ37" s="242"/>
      <c r="AK37" s="242"/>
      <c r="AL37" s="242"/>
      <c r="AM37" s="242"/>
      <c r="AN37" s="242"/>
      <c r="AO37" s="242"/>
      <c r="AP37" s="435"/>
    </row>
    <row r="38" spans="1:48" s="1773" customFormat="1" ht="18.75" hidden="1" customHeight="1">
      <c r="A38" s="1160"/>
      <c r="B38" s="1160"/>
      <c r="C38" s="1160"/>
      <c r="D38" s="1160"/>
      <c r="E38" s="1160"/>
      <c r="F38" s="1160"/>
      <c r="G38" s="1160"/>
      <c r="H38" s="1160"/>
      <c r="I38" s="1160"/>
      <c r="J38" s="1160"/>
      <c r="K38" s="1160"/>
      <c r="L38" s="1160"/>
      <c r="M38" s="1298"/>
      <c r="N38" s="1160"/>
      <c r="O38" s="1160"/>
      <c r="P38" s="1160"/>
      <c r="U38" s="2067" t="s">
        <v>485</v>
      </c>
      <c r="V38" s="2067"/>
      <c r="W38" s="1290"/>
      <c r="X38" s="2068" t="str">
        <f>IF(TITLE_DATE_CHANGE_PERIOD="",IF(TITLE_DATE_PR="","",TITLE_DATE_PR),TITLE_DATE_CHANGE_PERIOD)</f>
        <v/>
      </c>
      <c r="Y38" s="2068"/>
      <c r="Z38" s="2068"/>
      <c r="AA38" s="2068"/>
      <c r="AB38" s="2068"/>
      <c r="AC38" s="2068"/>
      <c r="AD38" s="2068"/>
      <c r="AE38" s="2068"/>
      <c r="AF38" s="248"/>
      <c r="AG38" s="2068" t="str">
        <f>IF(TITLE_DATE_CHANGE_PERIOD="",IF(TITLE_DATE_PR="","",TITLE_DATE_PR),TITLE_DATE_CHANGE_PERIOD)</f>
        <v/>
      </c>
      <c r="AH38" s="2068"/>
      <c r="AI38" s="2068"/>
      <c r="AJ38" s="2068"/>
      <c r="AK38" s="2068"/>
      <c r="AL38" s="2068"/>
      <c r="AM38" s="2068"/>
      <c r="AN38" s="2068"/>
      <c r="AO38" s="248"/>
      <c r="AP38" s="248"/>
      <c r="AQ38" s="196"/>
      <c r="AR38" s="292"/>
      <c r="AS38" s="292"/>
      <c r="AT38" s="292"/>
      <c r="AU38" s="292"/>
      <c r="AV38" s="292"/>
    </row>
    <row r="39" spans="1:48" s="1773" customFormat="1" ht="18.75" hidden="1" customHeight="1">
      <c r="A39" s="1160"/>
      <c r="B39" s="1160"/>
      <c r="C39" s="1160"/>
      <c r="D39" s="1160"/>
      <c r="E39" s="1160"/>
      <c r="F39" s="1160"/>
      <c r="G39" s="1160"/>
      <c r="H39" s="1160"/>
      <c r="I39" s="1160"/>
      <c r="J39" s="1160"/>
      <c r="K39" s="1160"/>
      <c r="L39" s="1160"/>
      <c r="M39" s="1298"/>
      <c r="N39" s="1160"/>
      <c r="O39" s="1160"/>
      <c r="P39" s="1160"/>
      <c r="U39" s="2067" t="s">
        <v>486</v>
      </c>
      <c r="V39" s="2067"/>
      <c r="W39" s="1290"/>
      <c r="X39" s="2069" t="str">
        <f>IF(TITLE_NUMBER_PR_CHANGE="",IF(TITLE_NUMBER_PR="","",TITLE_NUMBER_PR),TITLE_NUMBER_PR_CHANGE)</f>
        <v/>
      </c>
      <c r="Y39" s="2069"/>
      <c r="Z39" s="2069"/>
      <c r="AA39" s="2069"/>
      <c r="AB39" s="2069"/>
      <c r="AC39" s="2069"/>
      <c r="AD39" s="2069"/>
      <c r="AE39" s="2069"/>
      <c r="AF39" s="248"/>
      <c r="AG39" s="2069" t="str">
        <f>IF(TITLE_NUMBER_PR_CHANGE="",IF(TITLE_NUMBER_PR="","",TITLE_NUMBER_PR),TITLE_NUMBER_PR_CHANGE)</f>
        <v/>
      </c>
      <c r="AH39" s="2069"/>
      <c r="AI39" s="2069"/>
      <c r="AJ39" s="2069"/>
      <c r="AK39" s="2069"/>
      <c r="AL39" s="2069"/>
      <c r="AM39" s="2069"/>
      <c r="AN39" s="2069"/>
      <c r="AO39" s="248"/>
      <c r="AP39" s="248"/>
      <c r="AQ39" s="196"/>
      <c r="AR39" s="292"/>
      <c r="AS39" s="292"/>
      <c r="AT39" s="292"/>
      <c r="AU39" s="292"/>
      <c r="AV39" s="292"/>
    </row>
    <row r="40" spans="1:48" s="1773" customFormat="1" ht="0" hidden="1" customHeight="1">
      <c r="A40" s="1160"/>
      <c r="B40" s="1160"/>
      <c r="C40" s="1160"/>
      <c r="D40" s="1160"/>
      <c r="E40" s="1160"/>
      <c r="F40" s="1160"/>
      <c r="G40" s="1160"/>
      <c r="H40" s="1160"/>
      <c r="I40" s="1160"/>
      <c r="J40" s="1160"/>
      <c r="K40" s="1160"/>
      <c r="L40" s="1160"/>
      <c r="M40" s="1298"/>
      <c r="N40" s="1160"/>
      <c r="O40" s="1160"/>
      <c r="P40" s="1160"/>
      <c r="U40" s="244"/>
      <c r="V40" s="244"/>
      <c r="W40" s="1259"/>
      <c r="X40" s="248"/>
      <c r="Y40" s="248"/>
      <c r="Z40" s="248"/>
      <c r="AA40" s="248"/>
      <c r="AB40" s="248"/>
      <c r="AC40" s="248"/>
      <c r="AD40" s="248"/>
      <c r="AE40" s="248"/>
      <c r="AF40" s="194" t="s">
        <v>487</v>
      </c>
      <c r="AG40" s="248"/>
      <c r="AH40" s="248"/>
      <c r="AI40" s="248"/>
      <c r="AJ40" s="248"/>
      <c r="AK40" s="248"/>
      <c r="AL40" s="248"/>
      <c r="AM40" s="248"/>
      <c r="AN40" s="248"/>
      <c r="AO40" s="194" t="s">
        <v>487</v>
      </c>
      <c r="AR40" s="292"/>
      <c r="AS40" s="292"/>
      <c r="AT40" s="292"/>
      <c r="AU40" s="292"/>
      <c r="AV40" s="292"/>
    </row>
    <row r="41" spans="1:48" ht="14.25" customHeight="1">
      <c r="R41" s="300"/>
      <c r="S41" s="300"/>
      <c r="T41" s="300"/>
      <c r="U41" s="1197"/>
      <c r="V41" s="286"/>
      <c r="W41" s="1155"/>
      <c r="X41" s="2087"/>
      <c r="Y41" s="2087"/>
      <c r="Z41" s="2087"/>
      <c r="AA41" s="2087"/>
      <c r="AB41" s="2087"/>
      <c r="AC41" s="2087"/>
      <c r="AD41" s="2087"/>
      <c r="AE41" s="2087"/>
      <c r="AF41" s="2087"/>
      <c r="AG41" s="2087"/>
      <c r="AH41" s="2087"/>
      <c r="AI41" s="2087"/>
      <c r="AJ41" s="2087"/>
      <c r="AK41" s="2087"/>
      <c r="AL41" s="2087"/>
      <c r="AM41" s="2087"/>
      <c r="AN41" s="2087"/>
      <c r="AO41" s="2087"/>
    </row>
    <row r="42" spans="1:48" ht="14.25" customHeight="1">
      <c r="R42" s="300"/>
      <c r="S42" s="300"/>
      <c r="T42" s="300"/>
      <c r="U42" s="1874" t="s">
        <v>291</v>
      </c>
      <c r="V42" s="1874"/>
      <c r="W42" s="1874"/>
      <c r="X42" s="1874"/>
      <c r="Y42" s="1874"/>
      <c r="Z42" s="1874"/>
      <c r="AA42" s="1874"/>
      <c r="AB42" s="1874"/>
      <c r="AC42" s="1874"/>
      <c r="AD42" s="1874"/>
      <c r="AE42" s="1874"/>
      <c r="AF42" s="1874"/>
      <c r="AG42" s="1874"/>
      <c r="AH42" s="1874"/>
      <c r="AI42" s="1874"/>
      <c r="AJ42" s="1874"/>
      <c r="AK42" s="1874"/>
      <c r="AL42" s="1874"/>
      <c r="AM42" s="1874"/>
      <c r="AN42" s="1874"/>
      <c r="AO42" s="1874"/>
      <c r="AP42" s="1874"/>
      <c r="AQ42" s="1874" t="s">
        <v>292</v>
      </c>
    </row>
    <row r="43" spans="1:48" ht="14.25" customHeight="1">
      <c r="R43" s="300"/>
      <c r="S43" s="300"/>
      <c r="T43" s="300"/>
      <c r="U43" s="2088" t="s">
        <v>88</v>
      </c>
      <c r="V43" s="1959" t="s">
        <v>488</v>
      </c>
      <c r="W43" s="215"/>
      <c r="X43" s="2089" t="s">
        <v>489</v>
      </c>
      <c r="Y43" s="2104"/>
      <c r="Z43" s="2104"/>
      <c r="AA43" s="2104"/>
      <c r="AB43" s="2104"/>
      <c r="AC43" s="2090"/>
      <c r="AD43" s="2090"/>
      <c r="AE43" s="2091"/>
      <c r="AF43" s="2092" t="s">
        <v>490</v>
      </c>
      <c r="AG43" s="2089" t="s">
        <v>489</v>
      </c>
      <c r="AH43" s="2104"/>
      <c r="AI43" s="2104"/>
      <c r="AJ43" s="2104"/>
      <c r="AK43" s="2104"/>
      <c r="AL43" s="2090"/>
      <c r="AM43" s="2090"/>
      <c r="AN43" s="2091"/>
      <c r="AO43" s="2092" t="s">
        <v>491</v>
      </c>
      <c r="AP43" s="2095" t="s">
        <v>492</v>
      </c>
      <c r="AQ43" s="1874"/>
    </row>
    <row r="44" spans="1:48" ht="33.75" customHeight="1">
      <c r="R44" s="300"/>
      <c r="S44" s="300"/>
      <c r="T44" s="300"/>
      <c r="U44" s="2088"/>
      <c r="V44" s="1959"/>
      <c r="W44" s="939"/>
      <c r="X44" s="1929" t="s">
        <v>525</v>
      </c>
      <c r="Y44" s="1874" t="s">
        <v>526</v>
      </c>
      <c r="Z44" s="1874"/>
      <c r="AA44" s="1874"/>
      <c r="AB44" s="1874"/>
      <c r="AC44" s="1929" t="s">
        <v>496</v>
      </c>
      <c r="AD44" s="2109"/>
      <c r="AE44" s="1930"/>
      <c r="AF44" s="2093"/>
      <c r="AG44" s="1929" t="s">
        <v>525</v>
      </c>
      <c r="AH44" s="1874" t="s">
        <v>526</v>
      </c>
      <c r="AI44" s="1874"/>
      <c r="AJ44" s="1874"/>
      <c r="AK44" s="1874"/>
      <c r="AL44" s="1929" t="s">
        <v>496</v>
      </c>
      <c r="AM44" s="2109"/>
      <c r="AN44" s="1930"/>
      <c r="AO44" s="2093"/>
      <c r="AP44" s="2096"/>
      <c r="AQ44" s="1874"/>
    </row>
    <row r="45" spans="1:48" ht="14.25" customHeight="1">
      <c r="R45" s="300"/>
      <c r="S45" s="300"/>
      <c r="T45" s="300"/>
      <c r="U45" s="2088"/>
      <c r="V45" s="1959"/>
      <c r="W45" s="939"/>
      <c r="X45" s="1931"/>
      <c r="Y45" s="1966" t="s">
        <v>527</v>
      </c>
      <c r="Z45" s="1965" t="s">
        <v>528</v>
      </c>
      <c r="AA45" s="1978"/>
      <c r="AB45" s="1979"/>
      <c r="AC45" s="1934"/>
      <c r="AD45" s="2110"/>
      <c r="AE45" s="1935"/>
      <c r="AF45" s="2093"/>
      <c r="AG45" s="1931"/>
      <c r="AH45" s="1966" t="s">
        <v>527</v>
      </c>
      <c r="AI45" s="1965" t="s">
        <v>528</v>
      </c>
      <c r="AJ45" s="1978"/>
      <c r="AK45" s="1979"/>
      <c r="AL45" s="1934"/>
      <c r="AM45" s="2110"/>
      <c r="AN45" s="1935"/>
      <c r="AO45" s="2093"/>
      <c r="AP45" s="2096"/>
      <c r="AQ45" s="1874"/>
    </row>
    <row r="46" spans="1:48" ht="25.5" customHeight="1">
      <c r="R46" s="300"/>
      <c r="S46" s="300"/>
      <c r="T46" s="300"/>
      <c r="U46" s="2088"/>
      <c r="V46" s="1959"/>
      <c r="W46" s="939"/>
      <c r="X46" s="1931"/>
      <c r="Y46" s="2108"/>
      <c r="Z46" s="1966" t="s">
        <v>529</v>
      </c>
      <c r="AA46" s="1965" t="s">
        <v>530</v>
      </c>
      <c r="AB46" s="1979"/>
      <c r="AC46" s="1966" t="s">
        <v>506</v>
      </c>
      <c r="AD46" s="1970" t="s">
        <v>507</v>
      </c>
      <c r="AE46" s="1968"/>
      <c r="AF46" s="2093"/>
      <c r="AG46" s="1931"/>
      <c r="AH46" s="2108"/>
      <c r="AI46" s="1966" t="s">
        <v>529</v>
      </c>
      <c r="AJ46" s="1965" t="s">
        <v>530</v>
      </c>
      <c r="AK46" s="1979"/>
      <c r="AL46" s="1966" t="s">
        <v>506</v>
      </c>
      <c r="AM46" s="1970" t="s">
        <v>507</v>
      </c>
      <c r="AN46" s="1968"/>
      <c r="AO46" s="2093"/>
      <c r="AP46" s="2096"/>
      <c r="AQ46" s="1874"/>
    </row>
    <row r="47" spans="1:48" ht="62.25" customHeight="1">
      <c r="A47" s="1181"/>
      <c r="B47" s="1181" t="s">
        <v>140</v>
      </c>
      <c r="C47" s="1181" t="s">
        <v>141</v>
      </c>
      <c r="D47" s="1181" t="s">
        <v>142</v>
      </c>
      <c r="E47" s="1230" t="s">
        <v>497</v>
      </c>
      <c r="F47" s="1230" t="s">
        <v>498</v>
      </c>
      <c r="G47" s="1230" t="s">
        <v>499</v>
      </c>
      <c r="H47" s="1230" t="s">
        <v>500</v>
      </c>
      <c r="I47" s="1230" t="s">
        <v>501</v>
      </c>
      <c r="J47" s="1230" t="s">
        <v>502</v>
      </c>
      <c r="K47" s="1230" t="s">
        <v>503</v>
      </c>
      <c r="L47" s="1230" t="s">
        <v>531</v>
      </c>
      <c r="M47" s="1230" t="s">
        <v>478</v>
      </c>
      <c r="R47" s="300"/>
      <c r="S47" s="300"/>
      <c r="T47" s="300"/>
      <c r="U47" s="2088"/>
      <c r="V47" s="1959"/>
      <c r="W47" s="216"/>
      <c r="X47" s="1934"/>
      <c r="Y47" s="1967"/>
      <c r="Z47" s="1967"/>
      <c r="AA47" s="1130" t="s">
        <v>532</v>
      </c>
      <c r="AB47" s="1130" t="s">
        <v>533</v>
      </c>
      <c r="AC47" s="1967"/>
      <c r="AD47" s="1971"/>
      <c r="AE47" s="1969"/>
      <c r="AF47" s="2094"/>
      <c r="AG47" s="1934"/>
      <c r="AH47" s="1967"/>
      <c r="AI47" s="1967"/>
      <c r="AJ47" s="1130" t="s">
        <v>532</v>
      </c>
      <c r="AK47" s="1130" t="s">
        <v>533</v>
      </c>
      <c r="AL47" s="1967"/>
      <c r="AM47" s="1971"/>
      <c r="AN47" s="1969"/>
      <c r="AO47" s="2094"/>
      <c r="AP47" s="2097"/>
      <c r="AQ47" s="1874"/>
    </row>
    <row r="48" spans="1:48" s="1558" customFormat="1" ht="11.25" hidden="1" customHeight="1">
      <c r="A48" s="1181"/>
      <c r="B48" s="1181"/>
      <c r="C48" s="1181"/>
      <c r="D48" s="1181"/>
      <c r="E48" s="1181"/>
      <c r="F48" s="1181"/>
      <c r="G48" s="1181"/>
      <c r="H48" s="1181"/>
      <c r="I48" s="1181"/>
      <c r="J48" s="1181"/>
      <c r="K48" s="1181"/>
      <c r="L48" s="1181"/>
      <c r="M48" s="1230"/>
      <c r="N48" s="1247"/>
      <c r="O48" s="1247"/>
      <c r="P48" s="1247"/>
      <c r="Q48" s="1157"/>
      <c r="R48" s="1158"/>
      <c r="S48" s="1173">
        <v>1</v>
      </c>
      <c r="T48" s="1173"/>
      <c r="U48" s="1199" t="s">
        <v>109</v>
      </c>
      <c r="V48" s="1174" t="s">
        <v>110</v>
      </c>
      <c r="W48" s="1156" t="str">
        <f ca="1">OFFSET(W48,0,-1)</f>
        <v>2</v>
      </c>
      <c r="X48" s="1254">
        <f ca="1">OFFSET(X48,0,-1)+1</f>
        <v>3</v>
      </c>
      <c r="Y48" s="1260"/>
      <c r="Z48" s="1260"/>
      <c r="AA48" s="1260">
        <f ca="1">OFFSET(AA48,0,-1)+1</f>
        <v>1</v>
      </c>
      <c r="AB48" s="1260">
        <f ca="1">OFFSET(AB48,0,-1)+1</f>
        <v>2</v>
      </c>
      <c r="AC48" s="1254">
        <f ca="1">OFFSET(AC48,0,-1)+1</f>
        <v>3</v>
      </c>
      <c r="AD48" s="2086">
        <f ca="1">OFFSET(AD48,0,-1)+1</f>
        <v>4</v>
      </c>
      <c r="AE48" s="2086"/>
      <c r="AF48" s="1254">
        <f ca="1">OFFSET(AF48,0,-2)+1</f>
        <v>5</v>
      </c>
      <c r="AG48" s="1254">
        <f ca="1">OFFSET(AG48,0,-1)+1</f>
        <v>6</v>
      </c>
      <c r="AH48" s="1254"/>
      <c r="AI48" s="1254"/>
      <c r="AJ48" s="1254">
        <f ca="1">OFFSET(AJ48,0,-1)+1</f>
        <v>1</v>
      </c>
      <c r="AK48" s="1254">
        <f ca="1">OFFSET(AK48,0,-1)+1</f>
        <v>2</v>
      </c>
      <c r="AL48" s="1254">
        <f ca="1">OFFSET(AL48,0,-1)+1</f>
        <v>3</v>
      </c>
      <c r="AM48" s="2086">
        <f ca="1">OFFSET(AM48,0,-1)+1</f>
        <v>4</v>
      </c>
      <c r="AN48" s="2086"/>
      <c r="AO48" s="1254">
        <f ca="1">OFFSET(AO48,0,-2)+1</f>
        <v>5</v>
      </c>
      <c r="AP48" s="1156">
        <f ca="1">OFFSET(AP48,0,-1)</f>
        <v>5</v>
      </c>
      <c r="AQ48" s="1254">
        <f ca="1">OFFSET(AQ48,0,-1)+1</f>
        <v>6</v>
      </c>
      <c r="AR48" s="437"/>
      <c r="AS48" s="437"/>
      <c r="AT48" s="437"/>
      <c r="AU48" s="437"/>
      <c r="AV48" s="437"/>
    </row>
    <row r="49" spans="1:48" ht="21" customHeight="1">
      <c r="A49" s="1188" t="s">
        <v>179</v>
      </c>
      <c r="B49" s="1188"/>
      <c r="C49" s="1188"/>
      <c r="D49" s="1188"/>
      <c r="E49" s="2111">
        <v>1</v>
      </c>
      <c r="F49" s="1188"/>
      <c r="G49" s="1188"/>
      <c r="H49" s="1188"/>
      <c r="I49" s="1188"/>
      <c r="J49" s="1188"/>
      <c r="K49" s="1188"/>
      <c r="L49" s="1188"/>
      <c r="M49" s="1230"/>
      <c r="N49" s="604"/>
      <c r="O49" s="604"/>
      <c r="P49" s="604"/>
      <c r="Q49" s="282"/>
      <c r="R49" s="281"/>
      <c r="S49" s="281"/>
      <c r="T49" s="276"/>
      <c r="U49" s="1255">
        <f>INDEX(PT_DIFFERENTIATION_NUM_NTAR,MATCH(A49,PT_DIFFERENTIATION_NTAR_ID,0))</f>
        <v>0</v>
      </c>
      <c r="V49" s="212" t="s">
        <v>128</v>
      </c>
      <c r="W49" s="214"/>
      <c r="X49" s="2070"/>
      <c r="Y49" s="2071"/>
      <c r="Z49" s="2071"/>
      <c r="AA49" s="2071"/>
      <c r="AB49" s="2071"/>
      <c r="AC49" s="2071"/>
      <c r="AD49" s="2071"/>
      <c r="AE49" s="2071"/>
      <c r="AF49" s="2072"/>
      <c r="AG49" s="2070" t="str">
        <f>INDEX(PT_DIFFERENTIATION_NTAR,MATCH(A49,PT_DIFFERENTIATION_NTAR_ID,0))</f>
        <v/>
      </c>
      <c r="AH49" s="2071"/>
      <c r="AI49" s="2071"/>
      <c r="AJ49" s="2071"/>
      <c r="AK49" s="2071"/>
      <c r="AL49" s="2071"/>
      <c r="AM49" s="2071"/>
      <c r="AN49" s="2071"/>
      <c r="AO49" s="2071"/>
      <c r="AP49" s="2072"/>
      <c r="AQ49" s="1179"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реквизиты"&amp;" (дата и номер) решения об установлении цены (тарифа), источник официального опубликования решения об установлении цены (тарифа) в сфере теплоснабжения.","В соответствии с данной формой раскрывается в том числе информация о тарифах на горячую воду, поставляемую единой теплоснабжающей организацией потребителям с использованием открытых систем теплоснабжения"&amp;" (горячего водоснабжения), установленных в виде формулы двухкомпонентного тарифа "&amp;"с использованием компонента на теплоноситель и компонента на тепловую энергию, в том числе о числовых значениях компонентов указанного тарифа. "&amp;"В соответствии с данной формой раскрывается в том числе информация о тарифах на товары (услуги) в сфере теплоснабжения в случаях, указанных частях 12 1 - 12 4 статьи 10 "&amp;"Федерального закона от 27 июля 2010 г.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В соответствии с данной формой раскрывается в том числе информация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 В соответствии с данной формой раскрывается в том числе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теплоснабжающей организации, теплосетевой организации в ценовых зонах теплоснабжения.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S49" s="426"/>
      <c r="AT49" s="426" t="str">
        <f t="shared" ref="AT49:AT65" si="2">IF(V49="","",V49)</f>
        <v>Наименование тарифа</v>
      </c>
      <c r="AU49" s="426"/>
      <c r="AV49" s="426"/>
    </row>
    <row r="50" spans="1:48" ht="21" customHeight="1">
      <c r="A50" s="1188" t="s">
        <v>179</v>
      </c>
      <c r="B50" s="1188" t="s">
        <v>180</v>
      </c>
      <c r="C50" s="1188"/>
      <c r="D50" s="1188"/>
      <c r="E50" s="2112"/>
      <c r="F50" s="2111">
        <v>1</v>
      </c>
      <c r="G50" s="1188"/>
      <c r="H50" s="1188"/>
      <c r="I50" s="1188"/>
      <c r="J50" s="1188"/>
      <c r="K50" s="1188"/>
      <c r="L50" s="1188"/>
      <c r="M50" s="1230"/>
      <c r="N50" s="604"/>
      <c r="O50" s="604"/>
      <c r="P50" s="604"/>
      <c r="Q50" s="1251"/>
      <c r="R50" s="273"/>
      <c r="S50" s="435"/>
      <c r="T50" s="274"/>
      <c r="U50" s="1255" t="str">
        <f>INDEX(PT_DIFFERENTIATION_NUM_TER,MATCH(B50,PT_DIFFERENTIATION_TER_ID,0))</f>
        <v>.</v>
      </c>
      <c r="V50" s="224" t="s">
        <v>460</v>
      </c>
      <c r="W50" s="214"/>
      <c r="X50" s="2070"/>
      <c r="Y50" s="2071"/>
      <c r="Z50" s="2071"/>
      <c r="AA50" s="2071"/>
      <c r="AB50" s="2071"/>
      <c r="AC50" s="2071"/>
      <c r="AD50" s="2071"/>
      <c r="AE50" s="2071"/>
      <c r="AF50" s="2072"/>
      <c r="AG50" s="2070" t="str">
        <f>INDEX(PT_DIFFERENTIATION_TER,MATCH(B50,PT_DIFFERENTIATION_TER_ID,0))</f>
        <v/>
      </c>
      <c r="AH50" s="2071"/>
      <c r="AI50" s="2071"/>
      <c r="AJ50" s="2071"/>
      <c r="AK50" s="2071"/>
      <c r="AL50" s="2071"/>
      <c r="AM50" s="2071"/>
      <c r="AN50" s="2071"/>
      <c r="AO50" s="2071"/>
      <c r="AP50" s="2072"/>
      <c r="AQ50" s="1179" t="s">
        <v>461</v>
      </c>
      <c r="AS50" s="426"/>
      <c r="AT50" s="426" t="str">
        <f t="shared" si="2"/>
        <v>Территория действия тарифа</v>
      </c>
      <c r="AU50" s="426"/>
      <c r="AV50" s="426"/>
    </row>
    <row r="51" spans="1:48" ht="22.5" customHeight="1">
      <c r="A51" s="1188" t="s">
        <v>179</v>
      </c>
      <c r="B51" s="1188" t="s">
        <v>180</v>
      </c>
      <c r="C51" s="1188" t="s">
        <v>181</v>
      </c>
      <c r="D51" s="1188"/>
      <c r="E51" s="2112"/>
      <c r="F51" s="2112"/>
      <c r="G51" s="2111">
        <v>1</v>
      </c>
      <c r="H51" s="1188"/>
      <c r="I51" s="1188"/>
      <c r="J51" s="1188"/>
      <c r="K51" s="1188"/>
      <c r="L51" s="1188"/>
      <c r="M51" s="1230"/>
      <c r="N51" s="604"/>
      <c r="O51" s="604"/>
      <c r="P51" s="604"/>
      <c r="Q51" s="275"/>
      <c r="R51" s="273"/>
      <c r="S51" s="435"/>
      <c r="T51" s="274"/>
      <c r="U51" s="1255" t="str">
        <f>INDEX(PT_DIFFERENTIATION_NUM_CS,MATCH(C51,PT_DIFFERENTIATION_CS_ID,0))</f>
        <v>..</v>
      </c>
      <c r="V51" s="225" t="s">
        <v>462</v>
      </c>
      <c r="W51" s="214"/>
      <c r="X51" s="2070"/>
      <c r="Y51" s="2071"/>
      <c r="Z51" s="2071"/>
      <c r="AA51" s="2071"/>
      <c r="AB51" s="2071"/>
      <c r="AC51" s="2071"/>
      <c r="AD51" s="2071"/>
      <c r="AE51" s="2071"/>
      <c r="AF51" s="2072"/>
      <c r="AG51" s="2070" t="str">
        <f>INDEX(PT_DIFFERENTIATION_CS,MATCH(C51,PT_DIFFERENTIATION_CS_ID,0))</f>
        <v/>
      </c>
      <c r="AH51" s="2071"/>
      <c r="AI51" s="2071"/>
      <c r="AJ51" s="2071"/>
      <c r="AK51" s="2071"/>
      <c r="AL51" s="2071"/>
      <c r="AM51" s="2071"/>
      <c r="AN51" s="2071"/>
      <c r="AO51" s="2071"/>
      <c r="AP51" s="2072"/>
      <c r="AQ51" s="1179" t="s">
        <v>463</v>
      </c>
      <c r="AS51" s="426"/>
      <c r="AT51" s="426" t="str">
        <f t="shared" si="2"/>
        <v xml:space="preserve">Наименование системы теплоснабжения </v>
      </c>
      <c r="AU51" s="426"/>
      <c r="AV51" s="426"/>
    </row>
    <row r="52" spans="1:48" ht="21" customHeight="1">
      <c r="A52" s="1188" t="s">
        <v>179</v>
      </c>
      <c r="B52" s="1188" t="s">
        <v>180</v>
      </c>
      <c r="C52" s="1188" t="s">
        <v>181</v>
      </c>
      <c r="D52" s="1188" t="s">
        <v>182</v>
      </c>
      <c r="E52" s="2112"/>
      <c r="F52" s="2112"/>
      <c r="G52" s="2112"/>
      <c r="H52" s="2111">
        <v>1</v>
      </c>
      <c r="I52" s="1188"/>
      <c r="J52" s="1188"/>
      <c r="K52" s="1188"/>
      <c r="L52" s="1188"/>
      <c r="M52" s="1230"/>
      <c r="N52" s="604"/>
      <c r="O52" s="604"/>
      <c r="P52" s="604"/>
      <c r="Q52" s="275"/>
      <c r="R52" s="273"/>
      <c r="S52" s="435"/>
      <c r="T52" s="274"/>
      <c r="U52" s="1255" t="str">
        <f>INDEX(PT_DIFFERENTIATION_NUM_IST_TE,MATCH(D52,PT_DIFFERENTIATION_IST_TE_ID,0))</f>
        <v>...</v>
      </c>
      <c r="V52" s="226" t="s">
        <v>464</v>
      </c>
      <c r="W52" s="214"/>
      <c r="X52" s="2070"/>
      <c r="Y52" s="2071"/>
      <c r="Z52" s="2071"/>
      <c r="AA52" s="2071"/>
      <c r="AB52" s="2071"/>
      <c r="AC52" s="2071"/>
      <c r="AD52" s="2071"/>
      <c r="AE52" s="2071"/>
      <c r="AF52" s="2072"/>
      <c r="AG52" s="2070" t="str">
        <f>INDEX(PT_DIFFERENTIATION_IST_TE,MATCH(D52,PT_DIFFERENTIATION_IST_TE_ID,0))</f>
        <v/>
      </c>
      <c r="AH52" s="2071"/>
      <c r="AI52" s="2071"/>
      <c r="AJ52" s="2071"/>
      <c r="AK52" s="2071"/>
      <c r="AL52" s="2071"/>
      <c r="AM52" s="2071"/>
      <c r="AN52" s="2071"/>
      <c r="AO52" s="2071"/>
      <c r="AP52" s="2072"/>
      <c r="AQ52" s="1179" t="s">
        <v>465</v>
      </c>
      <c r="AS52" s="426"/>
      <c r="AT52" s="426" t="str">
        <f t="shared" si="2"/>
        <v xml:space="preserve">Источник тепловой энергии  </v>
      </c>
      <c r="AU52" s="426"/>
      <c r="AV52" s="426"/>
    </row>
    <row r="53" spans="1:48" s="1559" customFormat="1" ht="0" hidden="1" customHeight="1">
      <c r="A53" s="1293" t="s">
        <v>179</v>
      </c>
      <c r="B53" s="1293" t="s">
        <v>180</v>
      </c>
      <c r="C53" s="1293" t="s">
        <v>181</v>
      </c>
      <c r="D53" s="1293" t="s">
        <v>182</v>
      </c>
      <c r="E53" s="2112"/>
      <c r="F53" s="2112"/>
      <c r="G53" s="2112"/>
      <c r="H53" s="2112"/>
      <c r="I53" s="1874" t="str">
        <f>U52&amp;".1"</f>
        <v>....1</v>
      </c>
      <c r="J53" s="1293"/>
      <c r="K53" s="1293"/>
      <c r="L53" s="1293"/>
      <c r="M53" s="1299" t="s">
        <v>466</v>
      </c>
      <c r="N53" s="1157"/>
      <c r="O53" s="1157"/>
      <c r="P53" s="1157"/>
      <c r="Q53" s="1995">
        <v>1</v>
      </c>
      <c r="R53" s="1250"/>
      <c r="S53" s="1250"/>
      <c r="T53" s="277"/>
      <c r="U53" s="950"/>
      <c r="V53" s="1301"/>
      <c r="W53" s="1302"/>
      <c r="X53" s="2105"/>
      <c r="Y53" s="2106"/>
      <c r="Z53" s="2106"/>
      <c r="AA53" s="2106"/>
      <c r="AB53" s="2106"/>
      <c r="AC53" s="2106"/>
      <c r="AD53" s="2106"/>
      <c r="AE53" s="2106"/>
      <c r="AF53" s="2107"/>
      <c r="AG53" s="2105"/>
      <c r="AH53" s="2106"/>
      <c r="AI53" s="2106"/>
      <c r="AJ53" s="2106"/>
      <c r="AK53" s="2106"/>
      <c r="AL53" s="2106"/>
      <c r="AM53" s="2106"/>
      <c r="AN53" s="2106"/>
      <c r="AO53" s="2106"/>
      <c r="AP53" s="2107"/>
      <c r="AQ53" s="1303"/>
      <c r="AS53" s="426"/>
      <c r="AT53" s="426" t="str">
        <f t="shared" si="2"/>
        <v/>
      </c>
      <c r="AU53" s="426"/>
      <c r="AV53" s="426"/>
    </row>
    <row r="54" spans="1:48" ht="21" customHeight="1">
      <c r="A54" s="1188" t="s">
        <v>179</v>
      </c>
      <c r="B54" s="1188" t="s">
        <v>180</v>
      </c>
      <c r="C54" s="1188" t="s">
        <v>181</v>
      </c>
      <c r="D54" s="1188" t="s">
        <v>182</v>
      </c>
      <c r="E54" s="2112"/>
      <c r="F54" s="2112"/>
      <c r="G54" s="2112"/>
      <c r="H54" s="2112"/>
      <c r="I54" s="1856"/>
      <c r="J54" s="1874" t="str">
        <f>I53&amp;".1"</f>
        <v>....1.1</v>
      </c>
      <c r="K54" s="1188"/>
      <c r="L54" s="1188"/>
      <c r="M54" s="1230" t="s">
        <v>469</v>
      </c>
      <c r="Q54" s="1995"/>
      <c r="R54" s="1995">
        <v>1</v>
      </c>
      <c r="S54" s="444"/>
      <c r="T54" s="278"/>
      <c r="U54" s="1255" t="str">
        <f>$J54</f>
        <v>....1.1</v>
      </c>
      <c r="V54" s="201" t="s">
        <v>470</v>
      </c>
      <c r="W54" s="214"/>
      <c r="X54" s="2064"/>
      <c r="Y54" s="2065"/>
      <c r="Z54" s="2065"/>
      <c r="AA54" s="2065"/>
      <c r="AB54" s="2065"/>
      <c r="AC54" s="1982"/>
      <c r="AD54" s="1982"/>
      <c r="AE54" s="1982"/>
      <c r="AF54" s="2113"/>
      <c r="AG54" s="2064"/>
      <c r="AH54" s="2065"/>
      <c r="AI54" s="2065"/>
      <c r="AJ54" s="2065"/>
      <c r="AK54" s="2065"/>
      <c r="AL54" s="2065"/>
      <c r="AM54" s="2065"/>
      <c r="AN54" s="2065"/>
      <c r="AO54" s="2065"/>
      <c r="AP54" s="2066"/>
      <c r="AQ54" s="1179" t="s">
        <v>471</v>
      </c>
      <c r="AS54" s="426"/>
      <c r="AT54" s="426" t="str">
        <f t="shared" si="2"/>
        <v>Группа потребителей</v>
      </c>
      <c r="AU54" s="426"/>
      <c r="AV54" s="426"/>
    </row>
    <row r="55" spans="1:48" ht="21" customHeight="1">
      <c r="A55" s="1188" t="s">
        <v>179</v>
      </c>
      <c r="B55" s="1188" t="s">
        <v>180</v>
      </c>
      <c r="C55" s="1188" t="s">
        <v>181</v>
      </c>
      <c r="D55" s="1188" t="s">
        <v>182</v>
      </c>
      <c r="E55" s="2112"/>
      <c r="F55" s="2112"/>
      <c r="G55" s="2112"/>
      <c r="H55" s="2112"/>
      <c r="I55" s="1856"/>
      <c r="J55" s="1856"/>
      <c r="K55" s="1874" t="str">
        <f>J54&amp;".1"</f>
        <v>....1.1.1</v>
      </c>
      <c r="L55" s="61"/>
      <c r="M55" s="1230" t="s">
        <v>472</v>
      </c>
      <c r="Q55" s="1995"/>
      <c r="R55" s="1995"/>
      <c r="S55" s="444">
        <v>1</v>
      </c>
      <c r="T55" s="278"/>
      <c r="U55" s="1255" t="str">
        <f>$K55</f>
        <v>....1.1.1</v>
      </c>
      <c r="V55" s="1266"/>
      <c r="W55" s="214"/>
      <c r="X55" s="664"/>
      <c r="Y55" s="664"/>
      <c r="Z55" s="664"/>
      <c r="AA55" s="664"/>
      <c r="AB55" s="1323"/>
      <c r="AC55" s="2080"/>
      <c r="AD55" s="1885" t="s">
        <v>59</v>
      </c>
      <c r="AE55" s="2080"/>
      <c r="AF55" s="1885" t="s">
        <v>59</v>
      </c>
      <c r="AG55" s="1325"/>
      <c r="AH55" s="664"/>
      <c r="AI55" s="664"/>
      <c r="AJ55" s="664"/>
      <c r="AK55" s="1178"/>
      <c r="AL55" s="2080"/>
      <c r="AM55" s="1885" t="s">
        <v>59</v>
      </c>
      <c r="AN55" s="2080"/>
      <c r="AO55" s="1885" t="s">
        <v>59</v>
      </c>
      <c r="AP55" s="1267"/>
      <c r="AQ55" s="1228" t="s">
        <v>522</v>
      </c>
      <c r="AR55" s="437" t="e">
        <f ca="1">STRCHECKDATE(X57:AP57)</f>
        <v>#NAME?</v>
      </c>
      <c r="AS55" s="426"/>
      <c r="AT55" s="426" t="str">
        <f t="shared" si="2"/>
        <v/>
      </c>
      <c r="AU55" s="426"/>
      <c r="AV55" s="426"/>
    </row>
    <row r="56" spans="1:48" ht="11.25" customHeight="1">
      <c r="A56" s="1188" t="s">
        <v>179</v>
      </c>
      <c r="B56" s="1188" t="s">
        <v>180</v>
      </c>
      <c r="C56" s="1188" t="s">
        <v>181</v>
      </c>
      <c r="D56" s="1188" t="s">
        <v>182</v>
      </c>
      <c r="E56" s="2112"/>
      <c r="F56" s="2112"/>
      <c r="G56" s="2112"/>
      <c r="H56" s="2112"/>
      <c r="I56" s="1856"/>
      <c r="J56" s="1856"/>
      <c r="K56" s="1856"/>
      <c r="L56" s="1874" t="str">
        <f>K55&amp;".1"</f>
        <v>....1.1.1.1</v>
      </c>
      <c r="M56" s="1230"/>
      <c r="Q56" s="1995"/>
      <c r="R56" s="1995"/>
      <c r="S56" s="444">
        <v>1</v>
      </c>
      <c r="T56" s="278"/>
      <c r="U56" s="1255" t="str">
        <f>$L56</f>
        <v>....1.1.1.1</v>
      </c>
      <c r="V56" s="1309"/>
      <c r="W56" s="214"/>
      <c r="X56" s="246"/>
      <c r="Y56" s="664"/>
      <c r="Z56" s="664"/>
      <c r="AA56" s="664"/>
      <c r="AB56" s="1323"/>
      <c r="AC56" s="2081"/>
      <c r="AD56" s="1885"/>
      <c r="AE56" s="2081"/>
      <c r="AF56" s="1885"/>
      <c r="AG56" s="1325"/>
      <c r="AH56" s="664"/>
      <c r="AI56" s="664"/>
      <c r="AJ56" s="664"/>
      <c r="AK56" s="1178"/>
      <c r="AL56" s="2081"/>
      <c r="AM56" s="1885"/>
      <c r="AN56" s="2081"/>
      <c r="AO56" s="1885"/>
      <c r="AP56" s="1267"/>
      <c r="AQ56" s="2098" t="s">
        <v>523</v>
      </c>
      <c r="AR56" s="437" t="e">
        <f ca="1">STRCHECKDATE(X58:AP58)</f>
        <v>#NAME?</v>
      </c>
      <c r="AS56" s="426"/>
      <c r="AT56" s="426" t="str">
        <f t="shared" si="2"/>
        <v/>
      </c>
      <c r="AU56" s="426"/>
      <c r="AV56" s="426"/>
    </row>
    <row r="57" spans="1:48" ht="0" hidden="1" customHeight="1">
      <c r="A57" s="1188" t="s">
        <v>179</v>
      </c>
      <c r="B57" s="1188" t="s">
        <v>180</v>
      </c>
      <c r="C57" s="1188" t="s">
        <v>181</v>
      </c>
      <c r="D57" s="1188" t="s">
        <v>182</v>
      </c>
      <c r="E57" s="2112"/>
      <c r="F57" s="2112"/>
      <c r="G57" s="2112"/>
      <c r="H57" s="2112"/>
      <c r="I57" s="1856"/>
      <c r="J57" s="1856"/>
      <c r="K57" s="1856"/>
      <c r="L57" s="1874"/>
      <c r="M57" s="1230"/>
      <c r="Q57" s="1995"/>
      <c r="R57" s="1995"/>
      <c r="S57" s="444"/>
      <c r="T57" s="278"/>
      <c r="U57" s="1261"/>
      <c r="V57" s="214"/>
      <c r="W57" s="214"/>
      <c r="X57" s="246"/>
      <c r="Y57" s="246"/>
      <c r="Z57" s="246"/>
      <c r="AA57" s="246"/>
      <c r="AB57" s="1324" t="str">
        <f>AC55&amp;"-"&amp;AE55</f>
        <v>-</v>
      </c>
      <c r="AC57" s="2081"/>
      <c r="AD57" s="1885"/>
      <c r="AE57" s="2081"/>
      <c r="AF57" s="1885"/>
      <c r="AG57" s="1300"/>
      <c r="AH57" s="246"/>
      <c r="AI57" s="246"/>
      <c r="AJ57" s="246"/>
      <c r="AK57" s="250" t="str">
        <f>AL55&amp;"-"&amp;AN55</f>
        <v>-</v>
      </c>
      <c r="AL57" s="2081"/>
      <c r="AM57" s="1885"/>
      <c r="AN57" s="2081"/>
      <c r="AO57" s="1885"/>
      <c r="AP57" s="1268"/>
      <c r="AQ57" s="2099"/>
      <c r="AS57" s="426"/>
      <c r="AT57" s="426" t="str">
        <f t="shared" si="2"/>
        <v/>
      </c>
      <c r="AU57" s="426"/>
      <c r="AV57" s="426"/>
    </row>
    <row r="58" spans="1:48" ht="11.25" customHeight="1">
      <c r="A58" s="1188" t="s">
        <v>179</v>
      </c>
      <c r="B58" s="1188" t="s">
        <v>180</v>
      </c>
      <c r="C58" s="1188" t="s">
        <v>181</v>
      </c>
      <c r="D58" s="1188" t="s">
        <v>182</v>
      </c>
      <c r="E58" s="2112"/>
      <c r="F58" s="2112"/>
      <c r="G58" s="2112"/>
      <c r="H58" s="2112"/>
      <c r="I58" s="1856"/>
      <c r="J58" s="1856"/>
      <c r="K58" s="1874"/>
      <c r="L58" s="1188"/>
      <c r="M58" s="1230"/>
      <c r="Q58" s="1995"/>
      <c r="R58" s="1995"/>
      <c r="S58" s="1250"/>
      <c r="T58" s="277"/>
      <c r="U58" s="1200"/>
      <c r="V58" s="203" t="s">
        <v>524</v>
      </c>
      <c r="W58" s="291"/>
      <c r="X58" s="291"/>
      <c r="Y58" s="291"/>
      <c r="Z58" s="291"/>
      <c r="AA58" s="291"/>
      <c r="AB58" s="291"/>
      <c r="AC58" s="2081"/>
      <c r="AD58" s="1885"/>
      <c r="AE58" s="2081"/>
      <c r="AF58" s="1885"/>
      <c r="AG58" s="291"/>
      <c r="AH58" s="291"/>
      <c r="AI58" s="291"/>
      <c r="AJ58" s="291"/>
      <c r="AK58" s="291"/>
      <c r="AL58" s="2081"/>
      <c r="AM58" s="1885"/>
      <c r="AN58" s="2081"/>
      <c r="AO58" s="1885"/>
      <c r="AP58" s="245"/>
      <c r="AQ58" s="2099"/>
      <c r="AS58" s="426"/>
      <c r="AT58" s="426" t="str">
        <f t="shared" si="2"/>
        <v>Добавить наименование поставщика</v>
      </c>
      <c r="AU58" s="426"/>
      <c r="AV58" s="426"/>
    </row>
    <row r="59" spans="1:48" ht="11.25" customHeight="1">
      <c r="A59" s="1188" t="s">
        <v>179</v>
      </c>
      <c r="B59" s="1188" t="s">
        <v>180</v>
      </c>
      <c r="C59" s="1188" t="s">
        <v>181</v>
      </c>
      <c r="D59" s="1188" t="s">
        <v>182</v>
      </c>
      <c r="E59" s="2112"/>
      <c r="F59" s="2112"/>
      <c r="G59" s="2112"/>
      <c r="H59" s="2112"/>
      <c r="I59" s="1856"/>
      <c r="J59" s="1874"/>
      <c r="K59" s="1188"/>
      <c r="L59" s="1188"/>
      <c r="M59" s="1230"/>
      <c r="Q59" s="1995"/>
      <c r="R59" s="1995"/>
      <c r="S59" s="1250"/>
      <c r="T59" s="277"/>
      <c r="U59" s="1200"/>
      <c r="V59" s="202" t="s">
        <v>474</v>
      </c>
      <c r="W59" s="291"/>
      <c r="X59" s="291"/>
      <c r="Y59" s="291"/>
      <c r="Z59" s="291"/>
      <c r="AA59" s="291"/>
      <c r="AB59" s="291"/>
      <c r="AC59" s="1326"/>
      <c r="AD59" s="1326"/>
      <c r="AE59" s="1326"/>
      <c r="AF59" s="1326"/>
      <c r="AG59" s="291"/>
      <c r="AH59" s="291"/>
      <c r="AI59" s="291"/>
      <c r="AJ59" s="291"/>
      <c r="AK59" s="291"/>
      <c r="AL59" s="291"/>
      <c r="AM59" s="291"/>
      <c r="AN59" s="291"/>
      <c r="AO59" s="291"/>
      <c r="AP59" s="245"/>
      <c r="AQ59" s="2100"/>
      <c r="AS59" s="426"/>
      <c r="AT59" s="426" t="str">
        <f t="shared" si="2"/>
        <v>Добавить вид теплоносителя (параметры теплоносителя)</v>
      </c>
      <c r="AU59" s="426"/>
      <c r="AV59" s="426"/>
    </row>
    <row r="60" spans="1:48" ht="11.25" customHeight="1">
      <c r="A60" s="1188" t="s">
        <v>179</v>
      </c>
      <c r="B60" s="1188" t="s">
        <v>180</v>
      </c>
      <c r="C60" s="1188" t="s">
        <v>181</v>
      </c>
      <c r="D60" s="1188" t="s">
        <v>182</v>
      </c>
      <c r="E60" s="2112"/>
      <c r="F60" s="2112"/>
      <c r="G60" s="2112"/>
      <c r="H60" s="2112"/>
      <c r="I60" s="1874"/>
      <c r="J60" s="1188"/>
      <c r="K60" s="1188"/>
      <c r="L60" s="1188"/>
      <c r="M60" s="1230"/>
      <c r="Q60" s="1995"/>
      <c r="R60" s="1250"/>
      <c r="S60" s="1250"/>
      <c r="T60" s="277"/>
      <c r="U60" s="1200"/>
      <c r="V60" s="288" t="s">
        <v>475</v>
      </c>
      <c r="W60" s="291"/>
      <c r="X60" s="291"/>
      <c r="Y60" s="291"/>
      <c r="Z60" s="291"/>
      <c r="AA60" s="291"/>
      <c r="AB60" s="291"/>
      <c r="AC60" s="291"/>
      <c r="AD60" s="291"/>
      <c r="AE60" s="291"/>
      <c r="AF60" s="290"/>
      <c r="AG60" s="291"/>
      <c r="AH60" s="291"/>
      <c r="AI60" s="291"/>
      <c r="AJ60" s="291"/>
      <c r="AK60" s="291"/>
      <c r="AL60" s="291"/>
      <c r="AM60" s="291"/>
      <c r="AN60" s="291"/>
      <c r="AO60" s="290"/>
      <c r="AP60" s="291"/>
      <c r="AQ60" s="217"/>
      <c r="AS60" s="426"/>
      <c r="AT60" s="426" t="str">
        <f t="shared" si="2"/>
        <v>Добавить группу потребителей</v>
      </c>
      <c r="AU60" s="426"/>
      <c r="AV60" s="426"/>
    </row>
    <row r="61" spans="1:48" ht="0" hidden="1" customHeight="1">
      <c r="A61" s="1188" t="s">
        <v>179</v>
      </c>
      <c r="B61" s="1188" t="s">
        <v>180</v>
      </c>
      <c r="C61" s="1188" t="s">
        <v>181</v>
      </c>
      <c r="D61" s="1188" t="s">
        <v>182</v>
      </c>
      <c r="E61" s="2112"/>
      <c r="F61" s="2112"/>
      <c r="G61" s="2112"/>
      <c r="H61" s="2111"/>
      <c r="I61" s="1188"/>
      <c r="J61" s="1188"/>
      <c r="K61" s="1188"/>
      <c r="L61" s="1188"/>
      <c r="M61" s="1230"/>
      <c r="N61" s="604"/>
      <c r="O61" s="604"/>
      <c r="P61" s="435"/>
      <c r="Q61" s="281"/>
      <c r="R61" s="299"/>
      <c r="S61" s="276"/>
      <c r="T61" s="281"/>
      <c r="U61" s="1304"/>
      <c r="V61" s="1305"/>
      <c r="W61" s="1306"/>
      <c r="X61" s="1306"/>
      <c r="Y61" s="1306"/>
      <c r="Z61" s="1306"/>
      <c r="AA61" s="1306"/>
      <c r="AB61" s="1306"/>
      <c r="AC61" s="1306"/>
      <c r="AD61" s="1306"/>
      <c r="AE61" s="1306"/>
      <c r="AF61" s="1306"/>
      <c r="AG61" s="1306"/>
      <c r="AH61" s="1306"/>
      <c r="AI61" s="1306"/>
      <c r="AJ61" s="1306"/>
      <c r="AK61" s="1306"/>
      <c r="AL61" s="1306"/>
      <c r="AM61" s="1306"/>
      <c r="AN61" s="1306"/>
      <c r="AO61" s="1306"/>
      <c r="AP61" s="1306"/>
      <c r="AQ61" s="1307"/>
      <c r="AS61" s="426"/>
      <c r="AT61" s="426" t="str">
        <f t="shared" si="2"/>
        <v/>
      </c>
      <c r="AU61" s="426"/>
      <c r="AV61" s="426"/>
    </row>
    <row r="62" spans="1:48" s="1559" customFormat="1" ht="0" hidden="1" customHeight="1">
      <c r="A62" s="1293" t="s">
        <v>179</v>
      </c>
      <c r="B62" s="1293" t="s">
        <v>180</v>
      </c>
      <c r="C62" s="1293" t="s">
        <v>181</v>
      </c>
      <c r="D62" s="1292"/>
      <c r="E62" s="2112"/>
      <c r="F62" s="2112"/>
      <c r="G62" s="2111"/>
      <c r="H62" s="1292"/>
      <c r="I62" s="1292"/>
      <c r="J62" s="1292"/>
      <c r="K62" s="1292"/>
      <c r="L62" s="1292"/>
      <c r="M62" s="1295"/>
      <c r="N62" s="1296"/>
      <c r="O62" s="1296"/>
      <c r="P62" s="272"/>
      <c r="Q62" s="1236"/>
      <c r="R62" s="1237"/>
      <c r="S62" s="1236"/>
      <c r="T62" s="1236"/>
      <c r="U62" s="1242"/>
      <c r="V62" s="1245" t="s">
        <v>433</v>
      </c>
      <c r="W62" s="1244"/>
      <c r="X62" s="1244"/>
      <c r="Y62" s="1244"/>
      <c r="Z62" s="1244"/>
      <c r="AA62" s="1244"/>
      <c r="AB62" s="1244"/>
      <c r="AC62" s="1244"/>
      <c r="AD62" s="1244"/>
      <c r="AE62" s="1244"/>
      <c r="AF62" s="1244"/>
      <c r="AG62" s="1244"/>
      <c r="AH62" s="1244"/>
      <c r="AI62" s="1244"/>
      <c r="AJ62" s="1244"/>
      <c r="AK62" s="1244"/>
      <c r="AL62" s="1244"/>
      <c r="AM62" s="1244"/>
      <c r="AN62" s="1244"/>
      <c r="AO62" s="1244"/>
      <c r="AP62" s="1244"/>
      <c r="AQ62" s="1244"/>
      <c r="AS62" s="702"/>
      <c r="AT62" s="702" t="str">
        <f t="shared" si="2"/>
        <v>Добавить источник для дифференциации</v>
      </c>
      <c r="AU62" s="702"/>
      <c r="AV62" s="702"/>
    </row>
    <row r="63" spans="1:48" s="1559" customFormat="1" ht="0" hidden="1" customHeight="1">
      <c r="A63" s="1293" t="s">
        <v>179</v>
      </c>
      <c r="B63" s="1293" t="s">
        <v>180</v>
      </c>
      <c r="C63" s="1292"/>
      <c r="D63" s="1292"/>
      <c r="E63" s="2112"/>
      <c r="F63" s="2111"/>
      <c r="G63" s="1292"/>
      <c r="H63" s="1292"/>
      <c r="I63" s="1292"/>
      <c r="J63" s="1292"/>
      <c r="K63" s="1292"/>
      <c r="L63" s="1292"/>
      <c r="M63" s="1295"/>
      <c r="N63" s="1297"/>
      <c r="O63" s="1297"/>
      <c r="P63" s="272"/>
      <c r="Q63" s="1236"/>
      <c r="R63" s="1237"/>
      <c r="S63" s="1236"/>
      <c r="T63" s="1236"/>
      <c r="U63" s="1242"/>
      <c r="V63" s="1245" t="s">
        <v>434</v>
      </c>
      <c r="W63" s="1244"/>
      <c r="X63" s="1244"/>
      <c r="Y63" s="1244"/>
      <c r="Z63" s="1244"/>
      <c r="AA63" s="1244"/>
      <c r="AB63" s="1244"/>
      <c r="AC63" s="1244"/>
      <c r="AD63" s="1244"/>
      <c r="AE63" s="1244"/>
      <c r="AF63" s="1244"/>
      <c r="AG63" s="1244"/>
      <c r="AH63" s="1244"/>
      <c r="AI63" s="1244"/>
      <c r="AJ63" s="1244"/>
      <c r="AK63" s="1244"/>
      <c r="AL63" s="1244"/>
      <c r="AM63" s="1244"/>
      <c r="AN63" s="1244"/>
      <c r="AO63" s="1244"/>
      <c r="AP63" s="1244"/>
      <c r="AQ63" s="1244"/>
      <c r="AS63" s="702"/>
      <c r="AT63" s="702" t="str">
        <f t="shared" si="2"/>
        <v>Добавить централизованную систему для дифференциации</v>
      </c>
      <c r="AU63" s="702"/>
      <c r="AV63" s="702"/>
    </row>
    <row r="64" spans="1:48" s="1559" customFormat="1" ht="0" hidden="1" customHeight="1">
      <c r="A64" s="1293" t="s">
        <v>179</v>
      </c>
      <c r="B64" s="1293"/>
      <c r="C64" s="1293"/>
      <c r="D64" s="1293"/>
      <c r="E64" s="2111"/>
      <c r="F64" s="1293"/>
      <c r="G64" s="1293"/>
      <c r="H64" s="1293"/>
      <c r="I64" s="1293"/>
      <c r="J64" s="1293"/>
      <c r="K64" s="1293"/>
      <c r="L64" s="1293"/>
      <c r="M64" s="1299"/>
      <c r="N64" s="1297"/>
      <c r="O64" s="1297"/>
      <c r="P64" s="272"/>
      <c r="Q64" s="308"/>
      <c r="R64" s="1263"/>
      <c r="S64" s="308"/>
      <c r="T64" s="308"/>
      <c r="U64" s="1242"/>
      <c r="V64" s="1245" t="s">
        <v>435</v>
      </c>
      <c r="W64" s="1244"/>
      <c r="X64" s="1244"/>
      <c r="Y64" s="1244"/>
      <c r="Z64" s="1244"/>
      <c r="AA64" s="1244"/>
      <c r="AB64" s="1244"/>
      <c r="AC64" s="1244"/>
      <c r="AD64" s="1244"/>
      <c r="AE64" s="1244"/>
      <c r="AF64" s="1244"/>
      <c r="AG64" s="1244"/>
      <c r="AH64" s="1244"/>
      <c r="AI64" s="1244"/>
      <c r="AJ64" s="1244"/>
      <c r="AK64" s="1244"/>
      <c r="AL64" s="1244"/>
      <c r="AM64" s="1244"/>
      <c r="AN64" s="1244"/>
      <c r="AO64" s="1244"/>
      <c r="AP64" s="1244"/>
      <c r="AQ64" s="1244"/>
      <c r="AS64" s="426"/>
      <c r="AT64" s="426" t="str">
        <f t="shared" si="2"/>
        <v>Добавить территорию для дифференциации</v>
      </c>
      <c r="AU64" s="426"/>
      <c r="AV64" s="426"/>
    </row>
    <row r="65" spans="1:48" s="1559" customFormat="1" ht="5.25" customHeight="1">
      <c r="A65" s="1292"/>
      <c r="B65" s="1292"/>
      <c r="C65" s="1292"/>
      <c r="D65" s="1292"/>
      <c r="E65" s="1293"/>
      <c r="F65" s="1292"/>
      <c r="G65" s="1292"/>
      <c r="H65" s="1292"/>
      <c r="I65" s="1292"/>
      <c r="J65" s="1292"/>
      <c r="K65" s="1292"/>
      <c r="L65" s="1292"/>
      <c r="M65" s="1295"/>
      <c r="N65" s="1297"/>
      <c r="O65" s="1297"/>
      <c r="P65" s="272"/>
      <c r="Q65" s="1236"/>
      <c r="R65" s="1237"/>
      <c r="S65" s="1236"/>
      <c r="T65" s="1236"/>
      <c r="U65" s="1242"/>
      <c r="V65" s="1245" t="s">
        <v>436</v>
      </c>
      <c r="W65" s="1244"/>
      <c r="X65" s="1244"/>
      <c r="Y65" s="1244"/>
      <c r="Z65" s="1244"/>
      <c r="AA65" s="1244"/>
      <c r="AB65" s="1244"/>
      <c r="AC65" s="1244"/>
      <c r="AD65" s="1244"/>
      <c r="AE65" s="1244"/>
      <c r="AF65" s="1244"/>
      <c r="AG65" s="1244"/>
      <c r="AH65" s="1244"/>
      <c r="AI65" s="1244"/>
      <c r="AJ65" s="1244"/>
      <c r="AK65" s="1244"/>
      <c r="AL65" s="1244"/>
      <c r="AM65" s="1244"/>
      <c r="AN65" s="1244"/>
      <c r="AO65" s="1244"/>
      <c r="AP65" s="1244"/>
      <c r="AQ65" s="1244"/>
      <c r="AS65" s="702"/>
      <c r="AT65" s="702" t="str">
        <f t="shared" si="2"/>
        <v>Добавить наименование тарифа</v>
      </c>
      <c r="AU65" s="702"/>
      <c r="AV65" s="702"/>
    </row>
    <row r="66" spans="1:48" ht="11.25" hidden="1" customHeight="1">
      <c r="N66" s="1057"/>
      <c r="O66" s="1057"/>
      <c r="P66" s="435"/>
      <c r="Q66" s="1057"/>
      <c r="R66" s="1057"/>
      <c r="S66" s="1057"/>
      <c r="T66" s="1057"/>
      <c r="U66" s="1057"/>
      <c r="AR66" s="1057"/>
      <c r="AS66" s="1057"/>
      <c r="AT66" s="1057"/>
      <c r="AU66" s="1057"/>
      <c r="AV66" s="1057"/>
    </row>
    <row r="67" spans="1:48" ht="33.75" hidden="1" customHeight="1">
      <c r="P67" s="435"/>
      <c r="U67" s="1166" t="s">
        <v>508</v>
      </c>
      <c r="V67" s="2075" t="s">
        <v>518</v>
      </c>
      <c r="W67" s="2075"/>
      <c r="X67" s="2075"/>
      <c r="Y67" s="2075"/>
      <c r="Z67" s="2075"/>
      <c r="AA67" s="2075"/>
      <c r="AB67" s="2075"/>
      <c r="AC67" s="2075"/>
      <c r="AD67" s="2075"/>
      <c r="AE67" s="2075"/>
      <c r="AF67" s="2075"/>
      <c r="AG67" s="2075"/>
      <c r="AH67" s="2075"/>
      <c r="AI67" s="2075"/>
      <c r="AJ67" s="2075"/>
      <c r="AK67" s="2075"/>
      <c r="AL67" s="2075"/>
      <c r="AM67" s="2075"/>
      <c r="AN67" s="2075"/>
      <c r="AO67" s="2075"/>
      <c r="AP67" s="2075"/>
      <c r="AQ67" s="2075"/>
    </row>
    <row r="68" spans="1:48" ht="19.5" hidden="1" customHeight="1">
      <c r="P68" s="435"/>
      <c r="V68" s="2075" t="s">
        <v>534</v>
      </c>
      <c r="W68" s="2075"/>
      <c r="X68" s="2075"/>
      <c r="Y68" s="2075"/>
      <c r="Z68" s="2075"/>
      <c r="AA68" s="2075"/>
      <c r="AB68" s="2075"/>
      <c r="AC68" s="2075"/>
      <c r="AD68" s="2075"/>
      <c r="AE68" s="2075"/>
      <c r="AF68" s="2075"/>
      <c r="AG68" s="2075"/>
      <c r="AH68" s="2075"/>
      <c r="AI68" s="2075"/>
      <c r="AJ68" s="2075"/>
      <c r="AK68" s="2075"/>
      <c r="AL68" s="2075"/>
      <c r="AM68" s="2075"/>
      <c r="AN68" s="2075"/>
      <c r="AO68" s="2075"/>
      <c r="AP68" s="2075"/>
      <c r="AQ68" s="2075"/>
    </row>
    <row r="69" spans="1:48" ht="14.25" hidden="1" customHeight="1">
      <c r="P69" s="435"/>
    </row>
    <row r="70" spans="1:48" ht="27" hidden="1" customHeight="1">
      <c r="P70" s="435"/>
      <c r="V70" s="2075" t="s">
        <v>535</v>
      </c>
      <c r="W70" s="2075"/>
      <c r="X70" s="2075"/>
      <c r="Y70" s="2075"/>
      <c r="Z70" s="2075"/>
      <c r="AA70" s="2075"/>
      <c r="AB70" s="2075"/>
      <c r="AC70" s="2075"/>
      <c r="AD70" s="2075"/>
      <c r="AE70" s="2075"/>
      <c r="AF70" s="2075"/>
      <c r="AG70" s="2075"/>
      <c r="AH70" s="2075"/>
      <c r="AI70" s="2075"/>
      <c r="AJ70" s="2075"/>
      <c r="AK70" s="2075"/>
      <c r="AL70" s="2075"/>
      <c r="AM70" s="2075"/>
      <c r="AN70" s="2075"/>
      <c r="AO70" s="2075"/>
      <c r="AP70" s="2075"/>
      <c r="AQ70" s="2075"/>
    </row>
    <row r="71" spans="1:48" ht="18" hidden="1" customHeight="1">
      <c r="P71" s="435"/>
      <c r="V71" s="2075" t="s">
        <v>534</v>
      </c>
      <c r="W71" s="2075"/>
      <c r="X71" s="2075"/>
      <c r="Y71" s="2075"/>
      <c r="Z71" s="2075"/>
      <c r="AA71" s="2075"/>
      <c r="AB71" s="2075"/>
      <c r="AC71" s="2075"/>
      <c r="AD71" s="2075"/>
      <c r="AE71" s="2075"/>
      <c r="AF71" s="2075"/>
      <c r="AG71" s="2075"/>
      <c r="AH71" s="2075"/>
      <c r="AI71" s="2075"/>
      <c r="AJ71" s="2075"/>
      <c r="AK71" s="2075"/>
      <c r="AL71" s="2075"/>
      <c r="AM71" s="2075"/>
      <c r="AN71" s="2075"/>
      <c r="AO71" s="2075"/>
      <c r="AP71" s="2075"/>
      <c r="AQ71" s="2075"/>
    </row>
    <row r="72" spans="1:48" ht="14.25" hidden="1" customHeight="1"/>
    <row r="73" spans="1:48" ht="14.25" hidden="1" customHeight="1"/>
  </sheetData>
  <sheetProtection formatColumns="0" formatRows="0" insertRows="0" deleteColumns="0" deleteRows="0" sort="0" autoFilter="0"/>
  <mergeCells count="122">
    <mergeCell ref="AN19:AN22"/>
    <mergeCell ref="AO19:AO22"/>
    <mergeCell ref="E2:E17"/>
    <mergeCell ref="X2:AF2"/>
    <mergeCell ref="AG2:AP2"/>
    <mergeCell ref="F3:F16"/>
    <mergeCell ref="X3:AF3"/>
    <mergeCell ref="AG3:AP3"/>
    <mergeCell ref="G4:G15"/>
    <mergeCell ref="X4:AF4"/>
    <mergeCell ref="AG4:AP4"/>
    <mergeCell ref="H5:H14"/>
    <mergeCell ref="X5:AF5"/>
    <mergeCell ref="AG5:AP5"/>
    <mergeCell ref="I6:I13"/>
    <mergeCell ref="Q6:Q13"/>
    <mergeCell ref="X6:AF6"/>
    <mergeCell ref="AG6:AP6"/>
    <mergeCell ref="AQ9:AQ12"/>
    <mergeCell ref="J7:J12"/>
    <mergeCell ref="R7:R12"/>
    <mergeCell ref="X7:AF7"/>
    <mergeCell ref="AG7:AP7"/>
    <mergeCell ref="S8:S11"/>
    <mergeCell ref="U35:V35"/>
    <mergeCell ref="X35:AE35"/>
    <mergeCell ref="AG35:AN35"/>
    <mergeCell ref="K8:K11"/>
    <mergeCell ref="L9:L10"/>
    <mergeCell ref="AC8:AC11"/>
    <mergeCell ref="AE8:AE11"/>
    <mergeCell ref="AD8:AD11"/>
    <mergeCell ref="AF8:AF11"/>
    <mergeCell ref="AL8:AL11"/>
    <mergeCell ref="AM8:AM11"/>
    <mergeCell ref="AN8:AN11"/>
    <mergeCell ref="AO8:AO11"/>
    <mergeCell ref="U30:AN30"/>
    <mergeCell ref="U31:AN31"/>
    <mergeCell ref="U33:V33"/>
    <mergeCell ref="AL19:AL22"/>
    <mergeCell ref="AM19:AM22"/>
    <mergeCell ref="U36:V36"/>
    <mergeCell ref="X36:AE36"/>
    <mergeCell ref="AG36:AN36"/>
    <mergeCell ref="X33:AE33"/>
    <mergeCell ref="AG33:AN33"/>
    <mergeCell ref="U34:V34"/>
    <mergeCell ref="X34:AE34"/>
    <mergeCell ref="AG34:AN34"/>
    <mergeCell ref="J54:J59"/>
    <mergeCell ref="R54:R59"/>
    <mergeCell ref="X54:AF54"/>
    <mergeCell ref="AG54:AP54"/>
    <mergeCell ref="K55:K58"/>
    <mergeCell ref="AD48:AE48"/>
    <mergeCell ref="AM48:AN48"/>
    <mergeCell ref="X41:AF41"/>
    <mergeCell ref="AG41:AO41"/>
    <mergeCell ref="U42:AP42"/>
    <mergeCell ref="U43:U47"/>
    <mergeCell ref="V43:V47"/>
    <mergeCell ref="X43:AE43"/>
    <mergeCell ref="AF43:AF47"/>
    <mergeCell ref="AG43:AN43"/>
    <mergeCell ref="AO43:AO47"/>
    <mergeCell ref="AC55:AC58"/>
    <mergeCell ref="AE55:AE58"/>
    <mergeCell ref="AD55:AD58"/>
    <mergeCell ref="E49:E64"/>
    <mergeCell ref="X49:AF49"/>
    <mergeCell ref="AG49:AP49"/>
    <mergeCell ref="F50:F63"/>
    <mergeCell ref="X50:AF50"/>
    <mergeCell ref="AG50:AP50"/>
    <mergeCell ref="G51:G62"/>
    <mergeCell ref="X51:AF51"/>
    <mergeCell ref="AG51:AP51"/>
    <mergeCell ref="H52:H61"/>
    <mergeCell ref="X52:AF52"/>
    <mergeCell ref="AG52:AP52"/>
    <mergeCell ref="I53:I60"/>
    <mergeCell ref="Q53:Q60"/>
    <mergeCell ref="L56:L57"/>
    <mergeCell ref="AF55:AF58"/>
    <mergeCell ref="AH44:AK44"/>
    <mergeCell ref="AL44:AN45"/>
    <mergeCell ref="AH45:AH47"/>
    <mergeCell ref="X53:AF53"/>
    <mergeCell ref="AG53:AP53"/>
    <mergeCell ref="AI45:AK45"/>
    <mergeCell ref="AI46:AI47"/>
    <mergeCell ref="AJ46:AK46"/>
    <mergeCell ref="AL46:AL47"/>
    <mergeCell ref="AM46:AN47"/>
    <mergeCell ref="AP43:AP47"/>
    <mergeCell ref="X44:X47"/>
    <mergeCell ref="AG44:AG47"/>
    <mergeCell ref="V71:AQ71"/>
    <mergeCell ref="U39:V39"/>
    <mergeCell ref="X39:AE39"/>
    <mergeCell ref="AG39:AN39"/>
    <mergeCell ref="U38:V38"/>
    <mergeCell ref="X38:AE38"/>
    <mergeCell ref="AG38:AN38"/>
    <mergeCell ref="AL55:AL58"/>
    <mergeCell ref="AM55:AM58"/>
    <mergeCell ref="AN55:AN58"/>
    <mergeCell ref="AO55:AO58"/>
    <mergeCell ref="V70:AQ70"/>
    <mergeCell ref="AQ42:AQ47"/>
    <mergeCell ref="AQ56:AQ59"/>
    <mergeCell ref="V67:AQ67"/>
    <mergeCell ref="V68:AQ68"/>
    <mergeCell ref="Y44:AB44"/>
    <mergeCell ref="Y45:Y47"/>
    <mergeCell ref="Z45:AB45"/>
    <mergeCell ref="AA46:AB46"/>
    <mergeCell ref="Z46:Z47"/>
    <mergeCell ref="AC46:AC47"/>
    <mergeCell ref="AD46:AE47"/>
    <mergeCell ref="AC44:AE45"/>
  </mergeCells>
  <dataValidations count="8">
    <dataValidation type="list" allowBlank="1" showInputMessage="1" showErrorMessage="1" errorTitle="Ошибка" error="Выберите значение из списка" sqref="V65592 V131128 V196664 V262200 V327736 V393272 V458808 V524344 V589880 V655416 V720952 V786488 V852024 V917560 V983096">
      <formula1>kind_of_heat_transfer</formula1>
    </dataValidation>
    <dataValidation type="list" allowBlank="1" showInputMessage="1" showErrorMessage="1" errorTitle="Ошибка" error="Выберите значение из списка" sqref="X983094:Z983094 X65590:Z65590 X131126:Z131126 X196662:Z196662 X262198:Z262198 X327734:Z327734 X393270:Z393270 X458806:Z458806 X524342:Z524342 X589878:Z589878 X655414:Z655414 X720950:Z720950 X786486:Z786486 X852022:Z852022 X917558:Z917558 AG983094:AI983094 AG65590:AI65590 AG131126:AI131126 AG196662:AI196662 AG262198:AI262198 AG327734:AI327734 AG393270:AI393270 AG458806:AI458806 AG524342:AI524342 AG589878:AI589878 AG655414:AI655414 AG720950:AI720950 AG786486:AI786486 AG852022:AI852022 AG917558:AI917558">
      <formula1>kind_of_scheme_in</formula1>
    </dataValidation>
    <dataValidation type="list" allowBlank="1" showInputMessage="1" errorTitle="Ошибка" error="Выберите значение из списка" prompt="Выберите значение из списка" sqref="X983095:AP983095 X65591:AP65591 X131127:AP131127 X196663:AP196663 X262199:AP262199 X327735:AP327735 X393271:AP393271 X458807:AP458807 X524343:AP524343 X589879:AP589879 X655415:AP655415 X720951:AP720951 X786487:AP786487 X852023:AP852023 X917559:AP917559">
      <formula1>kind_of_cons</formula1>
    </dataValidation>
    <dataValidation allowBlank="1" sqref="U131130:AQ131136 U196666:AQ196672 U262202:AQ262208 U327738:AQ327744 U393274:AQ393280 U458810:AQ458816 U524346:AQ524352 U589882:AQ589888 U655418:AQ655424 U720954:AQ720960 U786490:AQ786496 U852026:AQ852032 U917562:AQ917568 U983098:AQ983104 U65594:AQ65600"/>
    <dataValidation type="textLength" operator="lessThanOrEqual" allowBlank="1" showInputMessage="1" showErrorMessage="1" errorTitle="Ошибка" error="Допускается ввод не более 900 символов!" sqref="AQ65586:AQ65593 AQ131122:AQ131129 AQ196658:AQ196665 AQ262194:AQ262201 AQ327730:AQ327737 AQ393266:AQ393273 AQ458802:AQ458809 AQ524338:AQ524345 AQ589874:AQ589881 AQ655410:AQ655417 AQ720946:AQ720953 AQ786482:AQ786489 AQ852018:AQ852025 AQ917554:AQ917561 AQ983090:AQ983097">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92 AC131128 AC196664 AC262200 AC327736 AC393272 AC458808 AC524344 AC589880 AC655416 AC720952 AC786488 AC852024 AC917560 AC983096 AE65592 AE131128 AE196664 AE262200 AE327736 AE393272 AE458808 AE524344 AE589880 AE655416 AE720952 AE786488 AE852024 AE917560 AE983096 AN55 AL65592 AL131128 AL196664 AL262200 AL327736 AL393272 AL458808 AL524344 AL589880 AL655416 AL720952 AL786488 AL852024 AL917560 AL983096 AN65592 AN131128 AN196664 AN262200 AN327736 AN393272 AN458808 AN524344 AN589880 AN655416 AN720952 AN786488 AN852024 AN917560 AN983096 AC55 AE55 AL55 AE8 AC8 AL19:AL21 AN19:AN21 AN8 AL8"/>
    <dataValidation allowBlank="1" promptTitle="checkPeriodRange" sqref="AB65593 AB131129 AB196665 AB262201 AB327737 AB393273 AB458809 AB524345 AB589881 AB655417 AB720953 AB786489 AB852025 AB917561 AB983097 AB10:AB11 AK65593 AK131129 AK196665 AK262201 AK327737 AK393273 AK458809 AK524345 AK589881 AK655417 AK720953 AK786489 AK852025 AK917561 AK983097 AK10:AK11 AK57 AK22 AB57"/>
    <dataValidation allowBlank="1" showInputMessage="1" showErrorMessage="1" prompt="Для выбора выполните двойной щелчок левой клавиши мыши по соответствующей ячейке." sqref="AD65592 AD131128 AD196664 AD262200 AD327736 AD393272 AD458808 AD524344 AD589880 AD655416 AD720952 AD786488 AD852024 AD917560 AD983096 AF131128 AF458808 AF196664 AF262200 AF327736 AF393272 AF524344 AF589880 AF655416 AF720952 AF786488 AF852024 AF917560 AF983096 AF65592 AM65592 AM131128 AM196664 AM262200 AM327736 AM393272 AM458808 AM524344 AM589880 AM655416 AM720952 AM786488 AM852024 AM917560 AM983096 AO393272 AO327736 AO524344 AO55 AO589880 AO655416 AO19:AO21 AO720952 AO786488 AO852024 AO917560 AO983096 AO65592 AO131128 AO458808 AF55 AO196664 AF8 AD8 AM55 AM19:AM21 AO262200 AD55 AO8 AM8"/>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AZ69"/>
  <sheetViews>
    <sheetView showGridLines="0" topLeftCell="R26" zoomScale="90" workbookViewId="0"/>
  </sheetViews>
  <sheetFormatPr defaultColWidth="10.5703125" defaultRowHeight="14.25" customHeight="1"/>
  <cols>
    <col min="1" max="1" width="10.5703125" style="1284" hidden="1"/>
    <col min="2" max="2" width="11" style="1284" hidden="1" customWidth="1"/>
    <col min="3" max="3" width="10.5703125" style="1284" hidden="1"/>
    <col min="4" max="4" width="11.85546875" style="1284" hidden="1" customWidth="1"/>
    <col min="5" max="5" width="10" style="1284" hidden="1" customWidth="1"/>
    <col min="6" max="6" width="8.7109375" style="1284" hidden="1" customWidth="1"/>
    <col min="7" max="7" width="7.5703125" style="1284" hidden="1" customWidth="1"/>
    <col min="8" max="8" width="11.42578125" style="1284" hidden="1" customWidth="1"/>
    <col min="9" max="9" width="12" style="1284" hidden="1" customWidth="1"/>
    <col min="10" max="10" width="9.85546875" style="1284" hidden="1" customWidth="1"/>
    <col min="11" max="11" width="11.42578125" style="1284" hidden="1" customWidth="1"/>
    <col min="12" max="12" width="19.140625" style="1799" hidden="1" customWidth="1"/>
    <col min="13" max="14" width="12.28515625" style="1696" hidden="1" customWidth="1"/>
    <col min="15" max="15" width="23.42578125" style="1696" hidden="1" customWidth="1"/>
    <col min="16" max="16" width="3.7109375" style="1696" hidden="1" customWidth="1"/>
    <col min="17" max="17" width="3.7109375" style="1289" hidden="1" customWidth="1"/>
    <col min="18" max="18" width="3.7109375" style="265" customWidth="1"/>
    <col min="19" max="19" width="12.7109375" style="1806" customWidth="1"/>
    <col min="20" max="20" width="32" style="1552" customWidth="1"/>
    <col min="21" max="21" width="0.140625" style="1552" customWidth="1"/>
    <col min="22" max="23" width="21.7109375" style="1552" hidden="1" customWidth="1"/>
    <col min="24" max="24" width="11.7109375" style="1552" hidden="1" customWidth="1"/>
    <col min="25" max="25" width="3.7109375" style="1552" hidden="1" customWidth="1"/>
    <col min="26" max="26" width="11.7109375" style="1552" hidden="1" customWidth="1"/>
    <col min="27" max="27" width="8.5703125" style="1552" hidden="1" customWidth="1"/>
    <col min="28" max="28" width="5.42578125" style="1552" customWidth="1"/>
    <col min="29" max="30" width="3.7109375" style="1552" customWidth="1"/>
    <col min="31" max="31" width="24.7109375" style="1552" customWidth="1"/>
    <col min="32" max="34" width="3.7109375" style="1552" customWidth="1"/>
    <col min="35" max="35" width="24.7109375" style="1552" customWidth="1"/>
    <col min="36" max="38" width="3.7109375" style="1552" customWidth="1"/>
    <col min="39" max="39" width="18.85546875" style="1552" customWidth="1"/>
    <col min="40" max="41" width="21.7109375" style="1552" customWidth="1"/>
    <col min="42" max="42" width="11.7109375" style="1552" customWidth="1"/>
    <col min="43" max="43" width="3.7109375" style="1552" customWidth="1"/>
    <col min="44" max="44" width="11.7109375" style="1552" customWidth="1"/>
    <col min="45" max="45" width="8.5703125" style="1552" customWidth="1"/>
    <col min="46" max="46" width="4.7109375" style="1552" customWidth="1"/>
    <col min="47" max="47" width="115.7109375" style="1552" customWidth="1"/>
    <col min="48" max="49" width="10.5703125" style="1559"/>
    <col min="50" max="50" width="11.140625" style="1559" customWidth="1"/>
    <col min="51" max="52" width="10.5703125" style="1559"/>
  </cols>
  <sheetData>
    <row r="1" spans="1:52" ht="14.25" hidden="1" customHeight="1">
      <c r="W1" s="249"/>
      <c r="X1" s="249"/>
      <c r="AO1" s="249"/>
      <c r="AP1" s="249"/>
    </row>
    <row r="2" spans="1:52" ht="21" hidden="1" customHeight="1">
      <c r="A2" s="1281"/>
      <c r="B2" s="1281"/>
      <c r="C2" s="1281"/>
      <c r="D2" s="1281"/>
      <c r="E2" s="2076">
        <v>1</v>
      </c>
      <c r="F2" s="1281"/>
      <c r="G2" s="1281"/>
      <c r="H2" s="1281"/>
      <c r="I2" s="1281"/>
      <c r="J2" s="1281"/>
      <c r="K2" s="1281"/>
      <c r="L2" s="1282"/>
      <c r="M2" s="1283"/>
      <c r="N2" s="1283"/>
      <c r="O2" s="1283"/>
      <c r="P2" s="1327"/>
      <c r="Q2" s="786"/>
      <c r="R2" s="276"/>
      <c r="S2" s="1255" t="e">
        <f>INDEX(PT_DIFFERENTIATION_NUM_NTAR,MATCH(A2,PT_DIFFERENTIATION_NTAR_ID,0))</f>
        <v>#N/A</v>
      </c>
      <c r="T2" s="212" t="s">
        <v>128</v>
      </c>
      <c r="U2" s="214"/>
      <c r="V2" s="2071"/>
      <c r="W2" s="2071"/>
      <c r="X2" s="2071"/>
      <c r="Y2" s="2071"/>
      <c r="Z2" s="2071"/>
      <c r="AA2" s="2072"/>
      <c r="AB2" s="2070" t="e">
        <f>INDEX(PT_DIFFERENTIATION_NTAR,MATCH(A2,PT_DIFFERENTIATION_NTAR_ID,0))</f>
        <v>#N/A</v>
      </c>
      <c r="AC2" s="2071"/>
      <c r="AD2" s="2071"/>
      <c r="AE2" s="2071"/>
      <c r="AF2" s="2071"/>
      <c r="AG2" s="2071"/>
      <c r="AH2" s="2071"/>
      <c r="AI2" s="2071"/>
      <c r="AJ2" s="2071"/>
      <c r="AK2" s="2071"/>
      <c r="AL2" s="2071"/>
      <c r="AM2" s="2071"/>
      <c r="AN2" s="2071"/>
      <c r="AO2" s="2071"/>
      <c r="AP2" s="2071"/>
      <c r="AQ2" s="2071"/>
      <c r="AR2" s="2071"/>
      <c r="AS2" s="2071"/>
      <c r="AT2" s="2072"/>
      <c r="AU2" s="1179" t="s">
        <v>459</v>
      </c>
      <c r="AW2" s="426"/>
      <c r="AX2" s="426" t="str">
        <f t="shared" ref="AX2:AX8" si="0">IF(T2="","",T2)</f>
        <v>Наименование тарифа</v>
      </c>
      <c r="AY2" s="426"/>
      <c r="AZ2" s="426"/>
    </row>
    <row r="3" spans="1:52" ht="21" hidden="1" customHeight="1">
      <c r="A3" s="1281"/>
      <c r="B3" s="1281"/>
      <c r="C3" s="1281"/>
      <c r="D3" s="1281"/>
      <c r="E3" s="2077"/>
      <c r="F3" s="2076">
        <v>1</v>
      </c>
      <c r="G3" s="1281"/>
      <c r="H3" s="1281"/>
      <c r="I3" s="1281"/>
      <c r="J3" s="1281"/>
      <c r="K3" s="1281"/>
      <c r="L3" s="1282"/>
      <c r="M3" s="1283"/>
      <c r="N3" s="1283"/>
      <c r="O3" s="1283"/>
      <c r="P3" s="1328"/>
      <c r="Q3" s="1329"/>
      <c r="R3" s="274"/>
      <c r="S3" s="1255" t="e">
        <f>INDEX(PT_DIFFERENTIATION_NUM_TER,MATCH(B3,PT_DIFFERENTIATION_TER_ID,0))</f>
        <v>#N/A</v>
      </c>
      <c r="T3" s="224" t="s">
        <v>460</v>
      </c>
      <c r="U3" s="214"/>
      <c r="V3" s="2071"/>
      <c r="W3" s="2071"/>
      <c r="X3" s="2071"/>
      <c r="Y3" s="2071"/>
      <c r="Z3" s="2071"/>
      <c r="AA3" s="2072"/>
      <c r="AB3" s="2070" t="e">
        <f>INDEX(PT_DIFFERENTIATION_TER,MATCH(B3,PT_DIFFERENTIATION_TER_ID,0))</f>
        <v>#N/A</v>
      </c>
      <c r="AC3" s="2071"/>
      <c r="AD3" s="2071"/>
      <c r="AE3" s="2071"/>
      <c r="AF3" s="2071"/>
      <c r="AG3" s="2071"/>
      <c r="AH3" s="2071"/>
      <c r="AI3" s="2071"/>
      <c r="AJ3" s="2071"/>
      <c r="AK3" s="2071"/>
      <c r="AL3" s="2071"/>
      <c r="AM3" s="2071"/>
      <c r="AN3" s="2071"/>
      <c r="AO3" s="2071"/>
      <c r="AP3" s="2071"/>
      <c r="AQ3" s="2071"/>
      <c r="AR3" s="2071"/>
      <c r="AS3" s="2071"/>
      <c r="AT3" s="2072"/>
      <c r="AU3" s="1179" t="s">
        <v>461</v>
      </c>
      <c r="AW3" s="426"/>
      <c r="AX3" s="426" t="str">
        <f t="shared" si="0"/>
        <v>Территория действия тарифа</v>
      </c>
      <c r="AY3" s="426"/>
      <c r="AZ3" s="426"/>
    </row>
    <row r="4" spans="1:52" ht="22.5" hidden="1" customHeight="1">
      <c r="A4" s="1281"/>
      <c r="B4" s="1281"/>
      <c r="C4" s="1281"/>
      <c r="D4" s="1281"/>
      <c r="E4" s="2077"/>
      <c r="F4" s="2077"/>
      <c r="G4" s="2076">
        <v>1</v>
      </c>
      <c r="H4" s="1281"/>
      <c r="I4" s="1281"/>
      <c r="J4" s="1281"/>
      <c r="K4" s="1281"/>
      <c r="L4" s="1282"/>
      <c r="M4" s="1283"/>
      <c r="N4" s="1283"/>
      <c r="O4" s="1283"/>
      <c r="P4" s="1330"/>
      <c r="Q4" s="1329"/>
      <c r="R4" s="274"/>
      <c r="S4" s="1255" t="e">
        <f>INDEX(PT_DIFFERENTIATION_NUM_CS,MATCH(C4,PT_DIFFERENTIATION_CS_ID,0))</f>
        <v>#N/A</v>
      </c>
      <c r="T4" s="225" t="s">
        <v>462</v>
      </c>
      <c r="U4" s="214"/>
      <c r="V4" s="2071"/>
      <c r="W4" s="2071"/>
      <c r="X4" s="2071"/>
      <c r="Y4" s="2071"/>
      <c r="Z4" s="2071"/>
      <c r="AA4" s="2072"/>
      <c r="AB4" s="2070" t="e">
        <f>INDEX(PT_DIFFERENTIATION_CS,MATCH(C4,PT_DIFFERENTIATION_CS_ID,0))</f>
        <v>#N/A</v>
      </c>
      <c r="AC4" s="2071"/>
      <c r="AD4" s="2071"/>
      <c r="AE4" s="2071"/>
      <c r="AF4" s="2071"/>
      <c r="AG4" s="2071"/>
      <c r="AH4" s="2071"/>
      <c r="AI4" s="2071"/>
      <c r="AJ4" s="2071"/>
      <c r="AK4" s="2071"/>
      <c r="AL4" s="2071"/>
      <c r="AM4" s="2071"/>
      <c r="AN4" s="2071"/>
      <c r="AO4" s="2071"/>
      <c r="AP4" s="2071"/>
      <c r="AQ4" s="2071"/>
      <c r="AR4" s="2071"/>
      <c r="AS4" s="2071"/>
      <c r="AT4" s="2072"/>
      <c r="AU4" s="1179" t="s">
        <v>463</v>
      </c>
      <c r="AW4" s="426"/>
      <c r="AX4" s="426" t="str">
        <f t="shared" si="0"/>
        <v xml:space="preserve">Наименование системы теплоснабжения </v>
      </c>
      <c r="AY4" s="426"/>
      <c r="AZ4" s="426"/>
    </row>
    <row r="5" spans="1:52" ht="21" hidden="1" customHeight="1">
      <c r="A5" s="1281"/>
      <c r="B5" s="1281"/>
      <c r="C5" s="1281"/>
      <c r="D5" s="1281"/>
      <c r="E5" s="2077"/>
      <c r="F5" s="2077"/>
      <c r="G5" s="2077"/>
      <c r="H5" s="2076">
        <v>1</v>
      </c>
      <c r="I5" s="1281"/>
      <c r="J5" s="1281"/>
      <c r="K5" s="1281"/>
      <c r="L5" s="1282"/>
      <c r="M5" s="1283"/>
      <c r="N5" s="1283"/>
      <c r="O5" s="1283"/>
      <c r="P5" s="1330"/>
      <c r="Q5" s="1329"/>
      <c r="R5" s="274"/>
      <c r="S5" s="1255" t="e">
        <f>INDEX(PT_DIFFERENTIATION_NUM_IST_TE,MATCH(D5,PT_DIFFERENTIATION_IST_TE_ID,0))</f>
        <v>#N/A</v>
      </c>
      <c r="T5" s="226" t="s">
        <v>464</v>
      </c>
      <c r="U5" s="214"/>
      <c r="V5" s="2071"/>
      <c r="W5" s="2071"/>
      <c r="X5" s="2071"/>
      <c r="Y5" s="2071"/>
      <c r="Z5" s="2071"/>
      <c r="AA5" s="2072"/>
      <c r="AB5" s="2070" t="e">
        <f>INDEX(PT_DIFFERENTIATION_IST_TE,MATCH(D5,PT_DIFFERENTIATION_IST_TE_ID,0))</f>
        <v>#N/A</v>
      </c>
      <c r="AC5" s="2071"/>
      <c r="AD5" s="2071"/>
      <c r="AE5" s="2071"/>
      <c r="AF5" s="2071"/>
      <c r="AG5" s="2071"/>
      <c r="AH5" s="2071"/>
      <c r="AI5" s="2071"/>
      <c r="AJ5" s="2071"/>
      <c r="AK5" s="2071"/>
      <c r="AL5" s="2071"/>
      <c r="AM5" s="2071"/>
      <c r="AN5" s="2071"/>
      <c r="AO5" s="2071"/>
      <c r="AP5" s="2071"/>
      <c r="AQ5" s="2071"/>
      <c r="AR5" s="2071"/>
      <c r="AS5" s="2071"/>
      <c r="AT5" s="2072"/>
      <c r="AU5" s="1179" t="s">
        <v>465</v>
      </c>
      <c r="AW5" s="426"/>
      <c r="AX5" s="426" t="str">
        <f t="shared" si="0"/>
        <v xml:space="preserve">Источник тепловой энергии  </v>
      </c>
      <c r="AY5" s="426"/>
      <c r="AZ5" s="426"/>
    </row>
    <row r="6" spans="1:52" s="1559" customFormat="1" ht="14.25" hidden="1" customHeight="1">
      <c r="A6" s="1262"/>
      <c r="B6" s="1262"/>
      <c r="C6" s="1262"/>
      <c r="D6" s="1262"/>
      <c r="E6" s="2077"/>
      <c r="F6" s="2077"/>
      <c r="G6" s="2077"/>
      <c r="H6" s="2077"/>
      <c r="I6" s="2078" t="e">
        <f>S5&amp;".1"</f>
        <v>#N/A</v>
      </c>
      <c r="J6" s="1262"/>
      <c r="K6" s="1262"/>
      <c r="L6" s="1265" t="s">
        <v>466</v>
      </c>
      <c r="M6" s="436"/>
      <c r="N6" s="436"/>
      <c r="O6" s="436"/>
      <c r="P6" s="1995">
        <v>1</v>
      </c>
      <c r="Q6" s="1250"/>
      <c r="R6" s="277"/>
      <c r="S6" s="950"/>
      <c r="T6" s="1301"/>
      <c r="U6" s="1302"/>
      <c r="V6" s="2106"/>
      <c r="W6" s="2106"/>
      <c r="X6" s="2106"/>
      <c r="Y6" s="2106"/>
      <c r="Z6" s="2106"/>
      <c r="AA6" s="2107"/>
      <c r="AB6" s="2105"/>
      <c r="AC6" s="2106"/>
      <c r="AD6" s="2106"/>
      <c r="AE6" s="2106"/>
      <c r="AF6" s="2106"/>
      <c r="AG6" s="2106"/>
      <c r="AH6" s="2106"/>
      <c r="AI6" s="2106"/>
      <c r="AJ6" s="2106"/>
      <c r="AK6" s="2106"/>
      <c r="AL6" s="2106"/>
      <c r="AM6" s="2106"/>
      <c r="AN6" s="2106"/>
      <c r="AO6" s="2106"/>
      <c r="AP6" s="2106"/>
      <c r="AQ6" s="2106"/>
      <c r="AR6" s="2106"/>
      <c r="AS6" s="2106"/>
      <c r="AT6" s="2107"/>
      <c r="AU6" s="1303"/>
      <c r="AW6" s="426"/>
      <c r="AX6" s="426" t="str">
        <f t="shared" si="0"/>
        <v/>
      </c>
      <c r="AY6" s="426"/>
      <c r="AZ6" s="426"/>
    </row>
    <row r="7" spans="1:52" s="1559" customFormat="1" ht="14.25" hidden="1" customHeight="1">
      <c r="A7" s="1262"/>
      <c r="B7" s="1262"/>
      <c r="C7" s="1262"/>
      <c r="D7" s="1262"/>
      <c r="E7" s="2077"/>
      <c r="F7" s="2077"/>
      <c r="G7" s="2077"/>
      <c r="H7" s="2077"/>
      <c r="I7" s="2079"/>
      <c r="J7" s="2078" t="e">
        <f>S5&amp;".1"</f>
        <v>#N/A</v>
      </c>
      <c r="K7" s="1262"/>
      <c r="L7" s="1265"/>
      <c r="M7" s="436"/>
      <c r="N7" s="436"/>
      <c r="O7" s="436"/>
      <c r="P7" s="1995"/>
      <c r="Q7" s="1995">
        <v>1</v>
      </c>
      <c r="R7" s="278"/>
      <c r="S7" s="950"/>
      <c r="T7" s="1317"/>
      <c r="U7" s="1302"/>
      <c r="V7" s="2106"/>
      <c r="W7" s="2106"/>
      <c r="X7" s="2106"/>
      <c r="Y7" s="2106"/>
      <c r="Z7" s="2106"/>
      <c r="AA7" s="2107"/>
      <c r="AB7" s="2105"/>
      <c r="AC7" s="2106"/>
      <c r="AD7" s="2106"/>
      <c r="AE7" s="2106"/>
      <c r="AF7" s="2106"/>
      <c r="AG7" s="2106"/>
      <c r="AH7" s="2106"/>
      <c r="AI7" s="2106"/>
      <c r="AJ7" s="2106"/>
      <c r="AK7" s="2106"/>
      <c r="AL7" s="2106"/>
      <c r="AM7" s="2106"/>
      <c r="AN7" s="2106"/>
      <c r="AO7" s="2106"/>
      <c r="AP7" s="2106"/>
      <c r="AQ7" s="2106"/>
      <c r="AR7" s="2106"/>
      <c r="AS7" s="2106"/>
      <c r="AT7" s="2107"/>
      <c r="AU7" s="1303"/>
      <c r="AW7" s="426"/>
      <c r="AX7" s="426" t="str">
        <f t="shared" si="0"/>
        <v/>
      </c>
      <c r="AY7" s="426"/>
      <c r="AZ7" s="426"/>
    </row>
    <row r="8" spans="1:52" ht="21" hidden="1" customHeight="1">
      <c r="A8" s="1281"/>
      <c r="B8" s="1281"/>
      <c r="C8" s="1281"/>
      <c r="D8" s="1281"/>
      <c r="E8" s="2077"/>
      <c r="F8" s="2077"/>
      <c r="G8" s="2077"/>
      <c r="H8" s="2077"/>
      <c r="I8" s="2079"/>
      <c r="J8" s="2079"/>
      <c r="K8" s="2078" t="e">
        <f>S5&amp;".1"</f>
        <v>#N/A</v>
      </c>
      <c r="L8" s="1282"/>
      <c r="P8" s="1995"/>
      <c r="Q8" s="1995"/>
      <c r="R8" s="2129">
        <v>1</v>
      </c>
      <c r="S8" s="2126" t="e">
        <f>$K8</f>
        <v>#N/A</v>
      </c>
      <c r="T8" s="2123"/>
      <c r="U8" s="214"/>
      <c r="V8" s="664"/>
      <c r="W8" s="1178"/>
      <c r="X8" s="2080"/>
      <c r="Y8" s="1885" t="s">
        <v>59</v>
      </c>
      <c r="Z8" s="2080"/>
      <c r="AA8" s="1885" t="s">
        <v>59</v>
      </c>
      <c r="AB8" s="1885" t="s">
        <v>57</v>
      </c>
      <c r="AC8" s="2122"/>
      <c r="AD8" s="1954">
        <v>1</v>
      </c>
      <c r="AE8" s="2135"/>
      <c r="AF8" s="1885" t="s">
        <v>57</v>
      </c>
      <c r="AG8" s="2122"/>
      <c r="AH8" s="1954">
        <v>1</v>
      </c>
      <c r="AI8" s="2135"/>
      <c r="AJ8" s="1885" t="s">
        <v>57</v>
      </c>
      <c r="AK8" s="227"/>
      <c r="AL8" s="1256">
        <v>1</v>
      </c>
      <c r="AM8" s="1316"/>
      <c r="AN8" s="664"/>
      <c r="AO8" s="1178"/>
      <c r="AP8" s="1650"/>
      <c r="AQ8" s="1374" t="s">
        <v>59</v>
      </c>
      <c r="AR8" s="1650"/>
      <c r="AS8" s="1374" t="s">
        <v>59</v>
      </c>
      <c r="AT8" s="1267"/>
      <c r="AU8" s="2098" t="s">
        <v>536</v>
      </c>
      <c r="AV8" s="437" t="e">
        <f ca="1">STRCHECKDATE(V11:AT11)</f>
        <v>#NAME?</v>
      </c>
      <c r="AW8" s="426"/>
      <c r="AX8" s="426" t="str">
        <f t="shared" si="0"/>
        <v/>
      </c>
      <c r="AY8" s="426"/>
      <c r="AZ8" s="426"/>
    </row>
    <row r="9" spans="1:52" ht="11.25" hidden="1" customHeight="1">
      <c r="A9" s="1281"/>
      <c r="B9" s="1281"/>
      <c r="C9" s="1281"/>
      <c r="D9" s="1281"/>
      <c r="E9" s="2077"/>
      <c r="F9" s="2077"/>
      <c r="G9" s="2077"/>
      <c r="H9" s="2077"/>
      <c r="I9" s="2079"/>
      <c r="J9" s="2079"/>
      <c r="K9" s="2078"/>
      <c r="L9" s="1282"/>
      <c r="P9" s="1995"/>
      <c r="Q9" s="1995"/>
      <c r="R9" s="2129"/>
      <c r="S9" s="2127"/>
      <c r="T9" s="2124"/>
      <c r="U9" s="214"/>
      <c r="V9" s="1311"/>
      <c r="W9" s="1315"/>
      <c r="X9" s="2080"/>
      <c r="Y9" s="1885"/>
      <c r="Z9" s="2080"/>
      <c r="AA9" s="1885"/>
      <c r="AB9" s="1885"/>
      <c r="AC9" s="2122"/>
      <c r="AD9" s="1954"/>
      <c r="AE9" s="2135"/>
      <c r="AF9" s="1885"/>
      <c r="AG9" s="2122"/>
      <c r="AH9" s="1954"/>
      <c r="AI9" s="2135"/>
      <c r="AJ9" s="1885"/>
      <c r="AK9" s="234"/>
      <c r="AL9" s="346"/>
      <c r="AM9" s="345" t="s">
        <v>537</v>
      </c>
      <c r="AN9" s="1311"/>
      <c r="AO9" s="1408"/>
      <c r="AP9" s="1311"/>
      <c r="AQ9" s="1311"/>
      <c r="AR9" s="1311"/>
      <c r="AS9" s="1311"/>
      <c r="AT9" s="1308"/>
      <c r="AU9" s="2099"/>
      <c r="AW9" s="426"/>
      <c r="AX9" s="426"/>
      <c r="AY9" s="426"/>
      <c r="AZ9" s="426"/>
    </row>
    <row r="10" spans="1:52" ht="11.25" hidden="1" customHeight="1">
      <c r="A10" s="1281"/>
      <c r="B10" s="1281"/>
      <c r="C10" s="1281"/>
      <c r="D10" s="1281"/>
      <c r="E10" s="2077"/>
      <c r="F10" s="2077"/>
      <c r="G10" s="2077"/>
      <c r="H10" s="2077"/>
      <c r="I10" s="2079"/>
      <c r="J10" s="2079"/>
      <c r="K10" s="2078"/>
      <c r="L10" s="1282"/>
      <c r="P10" s="1995"/>
      <c r="Q10" s="1995"/>
      <c r="R10" s="2129"/>
      <c r="S10" s="2127"/>
      <c r="T10" s="2124"/>
      <c r="U10" s="214"/>
      <c r="V10" s="1311"/>
      <c r="W10" s="1315"/>
      <c r="X10" s="2080"/>
      <c r="Y10" s="1885"/>
      <c r="Z10" s="2080"/>
      <c r="AA10" s="1885"/>
      <c r="AB10" s="1885"/>
      <c r="AC10" s="2122"/>
      <c r="AD10" s="1954"/>
      <c r="AE10" s="2135"/>
      <c r="AF10" s="1885"/>
      <c r="AG10" s="208"/>
      <c r="AH10" s="345"/>
      <c r="AI10" s="345" t="s">
        <v>538</v>
      </c>
      <c r="AJ10" s="1311"/>
      <c r="AK10" s="1311"/>
      <c r="AL10" s="1311"/>
      <c r="AM10" s="1311"/>
      <c r="AN10" s="1311"/>
      <c r="AO10" s="1408"/>
      <c r="AP10" s="1311"/>
      <c r="AQ10" s="1311"/>
      <c r="AR10" s="1311"/>
      <c r="AS10" s="1311"/>
      <c r="AT10" s="1308"/>
      <c r="AU10" s="2099"/>
      <c r="AW10" s="426"/>
      <c r="AX10" s="426"/>
      <c r="AY10" s="426"/>
      <c r="AZ10" s="426"/>
    </row>
    <row r="11" spans="1:52" ht="11.25" hidden="1" customHeight="1">
      <c r="A11" s="1281"/>
      <c r="B11" s="1281"/>
      <c r="C11" s="1281"/>
      <c r="D11" s="1281"/>
      <c r="E11" s="2077"/>
      <c r="F11" s="2077"/>
      <c r="G11" s="2077"/>
      <c r="H11" s="2077"/>
      <c r="I11" s="2079"/>
      <c r="J11" s="2079"/>
      <c r="K11" s="2078"/>
      <c r="L11" s="1282"/>
      <c r="P11" s="1995"/>
      <c r="Q11" s="1995"/>
      <c r="R11" s="2129"/>
      <c r="S11" s="2128"/>
      <c r="T11" s="2125"/>
      <c r="U11" s="214"/>
      <c r="V11" s="1311"/>
      <c r="W11" s="1314" t="str">
        <f>X8&amp;"-"&amp;Z8</f>
        <v>-</v>
      </c>
      <c r="X11" s="2081"/>
      <c r="Y11" s="1885"/>
      <c r="Z11" s="2081"/>
      <c r="AA11" s="1885"/>
      <c r="AB11" s="1885"/>
      <c r="AC11" s="228"/>
      <c r="AD11" s="230"/>
      <c r="AE11" s="345" t="s">
        <v>539</v>
      </c>
      <c r="AF11" s="1311"/>
      <c r="AG11" s="1311"/>
      <c r="AH11" s="1311"/>
      <c r="AI11" s="1311"/>
      <c r="AJ11" s="1311"/>
      <c r="AK11" s="1311"/>
      <c r="AL11" s="1311"/>
      <c r="AM11" s="1311"/>
      <c r="AN11" s="1311"/>
      <c r="AO11" s="1312" t="str">
        <f>AP8&amp;"-"&amp;AR8</f>
        <v>-</v>
      </c>
      <c r="AP11" s="1311"/>
      <c r="AQ11" s="1311"/>
      <c r="AR11" s="1311"/>
      <c r="AS11" s="1311"/>
      <c r="AT11" s="1268"/>
      <c r="AU11" s="2099"/>
      <c r="AW11" s="426"/>
      <c r="AX11" s="426" t="str">
        <f t="shared" ref="AX11:AX17" si="1">IF(T11="","",T11)</f>
        <v/>
      </c>
      <c r="AY11" s="426"/>
      <c r="AZ11" s="426"/>
    </row>
    <row r="12" spans="1:52" ht="11.25" hidden="1" customHeight="1">
      <c r="A12" s="1281"/>
      <c r="B12" s="1281"/>
      <c r="C12" s="1281"/>
      <c r="D12" s="1281"/>
      <c r="E12" s="2077"/>
      <c r="F12" s="2077"/>
      <c r="G12" s="2077"/>
      <c r="H12" s="2077"/>
      <c r="I12" s="2079"/>
      <c r="J12" s="2078"/>
      <c r="K12" s="1281"/>
      <c r="L12" s="1282"/>
      <c r="P12" s="1995"/>
      <c r="Q12" s="1995"/>
      <c r="R12" s="277"/>
      <c r="S12" s="1200"/>
      <c r="T12" s="202" t="s">
        <v>540</v>
      </c>
      <c r="U12" s="291"/>
      <c r="V12" s="291"/>
      <c r="W12" s="291"/>
      <c r="X12" s="291"/>
      <c r="Y12" s="291"/>
      <c r="Z12" s="291"/>
      <c r="AA12" s="291"/>
      <c r="AB12" s="291"/>
      <c r="AC12" s="291"/>
      <c r="AD12" s="291"/>
      <c r="AE12" s="291"/>
      <c r="AF12" s="291"/>
      <c r="AG12" s="291"/>
      <c r="AH12" s="291"/>
      <c r="AI12" s="291"/>
      <c r="AJ12" s="291"/>
      <c r="AK12" s="291"/>
      <c r="AL12" s="291"/>
      <c r="AM12" s="291"/>
      <c r="AN12" s="291"/>
      <c r="AO12" s="291"/>
      <c r="AP12" s="291"/>
      <c r="AQ12" s="291"/>
      <c r="AR12" s="291"/>
      <c r="AS12" s="291"/>
      <c r="AT12" s="245"/>
      <c r="AU12" s="2100"/>
      <c r="AW12" s="426"/>
      <c r="AX12" s="426" t="str">
        <f t="shared" si="1"/>
        <v>Добавить строку</v>
      </c>
      <c r="AY12" s="426"/>
      <c r="AZ12" s="426"/>
    </row>
    <row r="13" spans="1:52" s="1559" customFormat="1" ht="14.25" hidden="1" customHeight="1">
      <c r="A13" s="1262"/>
      <c r="B13" s="1262"/>
      <c r="C13" s="1262"/>
      <c r="D13" s="1262"/>
      <c r="E13" s="2077"/>
      <c r="F13" s="2077"/>
      <c r="G13" s="2077"/>
      <c r="H13" s="2077"/>
      <c r="I13" s="2078"/>
      <c r="J13" s="1262"/>
      <c r="K13" s="1262"/>
      <c r="L13" s="1265"/>
      <c r="M13" s="436"/>
      <c r="N13" s="436"/>
      <c r="O13" s="436"/>
      <c r="P13" s="1995"/>
      <c r="Q13" s="1250"/>
      <c r="R13" s="277"/>
      <c r="S13" s="1304"/>
      <c r="T13" s="1305"/>
      <c r="U13" s="1306"/>
      <c r="V13" s="1306"/>
      <c r="W13" s="1306"/>
      <c r="X13" s="1306"/>
      <c r="Y13" s="1306"/>
      <c r="Z13" s="1306"/>
      <c r="AA13" s="1306"/>
      <c r="AB13" s="1306"/>
      <c r="AC13" s="1306"/>
      <c r="AD13" s="1306"/>
      <c r="AE13" s="1306"/>
      <c r="AF13" s="1306"/>
      <c r="AG13" s="1306"/>
      <c r="AH13" s="1306"/>
      <c r="AI13" s="1306"/>
      <c r="AJ13" s="1306"/>
      <c r="AK13" s="1306"/>
      <c r="AL13" s="1306"/>
      <c r="AM13" s="1306"/>
      <c r="AN13" s="1306"/>
      <c r="AO13" s="1306"/>
      <c r="AP13" s="1306"/>
      <c r="AQ13" s="1306"/>
      <c r="AR13" s="1306"/>
      <c r="AS13" s="1306"/>
      <c r="AT13" s="1306"/>
      <c r="AU13" s="1307"/>
      <c r="AW13" s="426"/>
      <c r="AX13" s="426" t="str">
        <f t="shared" si="1"/>
        <v/>
      </c>
      <c r="AY13" s="426"/>
      <c r="AZ13" s="426"/>
    </row>
    <row r="14" spans="1:52" s="1559" customFormat="1" ht="14.25" hidden="1" customHeight="1">
      <c r="A14" s="1262"/>
      <c r="B14" s="1262"/>
      <c r="C14" s="1262"/>
      <c r="D14" s="1262"/>
      <c r="E14" s="2077"/>
      <c r="F14" s="2077"/>
      <c r="G14" s="2077"/>
      <c r="H14" s="2076"/>
      <c r="I14" s="1262"/>
      <c r="J14" s="1262"/>
      <c r="K14" s="1262"/>
      <c r="L14" s="1265"/>
      <c r="M14" s="1235"/>
      <c r="N14" s="1235"/>
      <c r="O14" s="444"/>
      <c r="P14" s="308"/>
      <c r="Q14" s="1263"/>
      <c r="R14" s="1319"/>
      <c r="S14" s="1304"/>
      <c r="T14" s="1305"/>
      <c r="U14" s="1306"/>
      <c r="V14" s="1306"/>
      <c r="W14" s="1306"/>
      <c r="X14" s="1306"/>
      <c r="Y14" s="1306"/>
      <c r="Z14" s="1306"/>
      <c r="AA14" s="1306"/>
      <c r="AB14" s="1306"/>
      <c r="AC14" s="1306"/>
      <c r="AD14" s="1306"/>
      <c r="AE14" s="1306"/>
      <c r="AF14" s="1306"/>
      <c r="AG14" s="1306"/>
      <c r="AH14" s="1306"/>
      <c r="AI14" s="1306"/>
      <c r="AJ14" s="1306"/>
      <c r="AK14" s="1306"/>
      <c r="AL14" s="1306"/>
      <c r="AM14" s="1306"/>
      <c r="AN14" s="1306"/>
      <c r="AO14" s="1306"/>
      <c r="AP14" s="1306"/>
      <c r="AQ14" s="1306"/>
      <c r="AR14" s="1306"/>
      <c r="AS14" s="1306"/>
      <c r="AT14" s="1306"/>
      <c r="AU14" s="1307"/>
      <c r="AW14" s="426"/>
      <c r="AX14" s="426" t="str">
        <f t="shared" si="1"/>
        <v/>
      </c>
      <c r="AY14" s="426"/>
      <c r="AZ14" s="426"/>
    </row>
    <row r="15" spans="1:52" s="1559" customFormat="1" ht="14.25" hidden="1" customHeight="1">
      <c r="A15" s="1262"/>
      <c r="B15" s="1262"/>
      <c r="C15" s="1262"/>
      <c r="D15" s="1234"/>
      <c r="E15" s="2077"/>
      <c r="F15" s="2077"/>
      <c r="G15" s="2076"/>
      <c r="H15" s="1234"/>
      <c r="I15" s="1234"/>
      <c r="J15" s="1234"/>
      <c r="K15" s="1234"/>
      <c r="L15" s="1258"/>
      <c r="M15" s="1235"/>
      <c r="N15" s="1235"/>
      <c r="P15" s="1236"/>
      <c r="Q15" s="1237"/>
      <c r="R15" s="1236"/>
      <c r="S15" s="1242"/>
      <c r="T15" s="1245" t="s">
        <v>433</v>
      </c>
      <c r="U15" s="1244"/>
      <c r="V15" s="1244"/>
      <c r="W15" s="1244"/>
      <c r="X15" s="1244"/>
      <c r="Y15" s="1244"/>
      <c r="Z15" s="1244"/>
      <c r="AA15" s="1244"/>
      <c r="AB15" s="1244"/>
      <c r="AC15" s="1244"/>
      <c r="AD15" s="1244"/>
      <c r="AE15" s="1244"/>
      <c r="AF15" s="1244"/>
      <c r="AG15" s="1244"/>
      <c r="AH15" s="1244"/>
      <c r="AI15" s="1244"/>
      <c r="AJ15" s="1244"/>
      <c r="AK15" s="1244"/>
      <c r="AL15" s="1244"/>
      <c r="AM15" s="1244"/>
      <c r="AN15" s="1244"/>
      <c r="AO15" s="1244"/>
      <c r="AP15" s="1244"/>
      <c r="AQ15" s="1244"/>
      <c r="AR15" s="1244"/>
      <c r="AS15" s="1244"/>
      <c r="AT15" s="1244"/>
      <c r="AU15" s="1244"/>
      <c r="AW15" s="702"/>
      <c r="AX15" s="702" t="str">
        <f t="shared" si="1"/>
        <v>Добавить источник для дифференциации</v>
      </c>
      <c r="AY15" s="702"/>
      <c r="AZ15" s="702"/>
    </row>
    <row r="16" spans="1:52" s="1559" customFormat="1" ht="14.25" hidden="1" customHeight="1">
      <c r="A16" s="1262"/>
      <c r="B16" s="1262"/>
      <c r="C16" s="1234"/>
      <c r="D16" s="1234"/>
      <c r="E16" s="2077"/>
      <c r="F16" s="2076"/>
      <c r="G16" s="1234"/>
      <c r="H16" s="1234"/>
      <c r="I16" s="1234"/>
      <c r="J16" s="1234"/>
      <c r="K16" s="1234"/>
      <c r="L16" s="1258"/>
      <c r="M16" s="1241"/>
      <c r="N16" s="1241"/>
      <c r="P16" s="1236"/>
      <c r="Q16" s="1237"/>
      <c r="R16" s="1236"/>
      <c r="S16" s="1242"/>
      <c r="T16" s="1245" t="s">
        <v>434</v>
      </c>
      <c r="U16" s="1244"/>
      <c r="V16" s="1244"/>
      <c r="W16" s="1244"/>
      <c r="X16" s="1244"/>
      <c r="Y16" s="1244"/>
      <c r="Z16" s="1244"/>
      <c r="AA16" s="1244"/>
      <c r="AB16" s="1244"/>
      <c r="AC16" s="1244"/>
      <c r="AD16" s="1244"/>
      <c r="AE16" s="1244"/>
      <c r="AF16" s="1244"/>
      <c r="AG16" s="1244"/>
      <c r="AH16" s="1244"/>
      <c r="AI16" s="1244"/>
      <c r="AJ16" s="1244"/>
      <c r="AK16" s="1244"/>
      <c r="AL16" s="1244"/>
      <c r="AM16" s="1244"/>
      <c r="AN16" s="1244"/>
      <c r="AO16" s="1244"/>
      <c r="AP16" s="1244"/>
      <c r="AQ16" s="1244"/>
      <c r="AR16" s="1244"/>
      <c r="AS16" s="1244"/>
      <c r="AT16" s="1244"/>
      <c r="AU16" s="1244"/>
      <c r="AW16" s="702"/>
      <c r="AX16" s="702" t="str">
        <f t="shared" si="1"/>
        <v>Добавить централизованную систему для дифференциации</v>
      </c>
      <c r="AY16" s="702"/>
      <c r="AZ16" s="702"/>
    </row>
    <row r="17" spans="1:52" s="1559" customFormat="1" ht="14.25" hidden="1" customHeight="1">
      <c r="A17" s="1262"/>
      <c r="B17" s="1262"/>
      <c r="C17" s="1262"/>
      <c r="D17" s="1262"/>
      <c r="E17" s="2076"/>
      <c r="F17" s="1262"/>
      <c r="G17" s="1262"/>
      <c r="H17" s="1262"/>
      <c r="I17" s="1262"/>
      <c r="J17" s="1262"/>
      <c r="K17" s="1262"/>
      <c r="L17" s="1265"/>
      <c r="M17" s="1241"/>
      <c r="N17" s="1241"/>
      <c r="O17" s="444"/>
      <c r="P17" s="308"/>
      <c r="Q17" s="1263"/>
      <c r="R17" s="308"/>
      <c r="S17" s="1242"/>
      <c r="T17" s="1245" t="s">
        <v>435</v>
      </c>
      <c r="U17" s="1244"/>
      <c r="V17" s="1244"/>
      <c r="W17" s="1244"/>
      <c r="X17" s="1244"/>
      <c r="Y17" s="1244"/>
      <c r="Z17" s="1244"/>
      <c r="AA17" s="1244"/>
      <c r="AB17" s="1244"/>
      <c r="AC17" s="1244"/>
      <c r="AD17" s="1244"/>
      <c r="AE17" s="1244"/>
      <c r="AF17" s="1244"/>
      <c r="AG17" s="1244"/>
      <c r="AH17" s="1244"/>
      <c r="AI17" s="1244"/>
      <c r="AJ17" s="1244"/>
      <c r="AK17" s="1244"/>
      <c r="AL17" s="1244"/>
      <c r="AM17" s="1244"/>
      <c r="AN17" s="1244"/>
      <c r="AO17" s="1244"/>
      <c r="AP17" s="1244"/>
      <c r="AQ17" s="1244"/>
      <c r="AR17" s="1244"/>
      <c r="AS17" s="1244"/>
      <c r="AT17" s="1244"/>
      <c r="AU17" s="1244"/>
      <c r="AW17" s="426"/>
      <c r="AX17" s="426" t="str">
        <f t="shared" si="1"/>
        <v>Добавить территорию для дифференциации</v>
      </c>
      <c r="AY17" s="426"/>
      <c r="AZ17" s="426"/>
    </row>
    <row r="18" spans="1:52" ht="14.25" hidden="1" customHeight="1">
      <c r="AA18" s="249"/>
      <c r="AS18" s="249"/>
    </row>
    <row r="19" spans="1:52" ht="14.25" hidden="1" customHeight="1">
      <c r="AB19" s="1244" t="s">
        <v>57</v>
      </c>
      <c r="AC19" s="1413"/>
      <c r="AD19" s="472">
        <v>1</v>
      </c>
      <c r="AE19" s="1414"/>
      <c r="AF19" s="1244" t="s">
        <v>57</v>
      </c>
      <c r="AG19" s="1413"/>
      <c r="AH19" s="472">
        <v>1</v>
      </c>
      <c r="AI19" s="1414"/>
      <c r="AJ19" s="1244" t="s">
        <v>57</v>
      </c>
      <c r="AK19" s="1415"/>
      <c r="AL19" s="472">
        <v>1</v>
      </c>
      <c r="AM19" s="1418"/>
      <c r="AN19" s="1321"/>
      <c r="AO19" s="1322"/>
      <c r="AP19" s="1652"/>
      <c r="AQ19" s="1375" t="s">
        <v>59</v>
      </c>
      <c r="AR19" s="1652"/>
      <c r="AS19" s="1375" t="s">
        <v>59</v>
      </c>
    </row>
    <row r="20" spans="1:52" ht="14.25" hidden="1" customHeight="1">
      <c r="AV20" s="422"/>
      <c r="AW20" s="422"/>
      <c r="AX20" s="422"/>
      <c r="AY20" s="422"/>
      <c r="AZ20" s="422"/>
    </row>
    <row r="21" spans="1:52" ht="14.25" hidden="1" customHeight="1">
      <c r="O21" s="1285" t="s">
        <v>477</v>
      </c>
      <c r="X21" s="1264"/>
      <c r="Z21" s="1264"/>
      <c r="AA21" s="249"/>
      <c r="AP21" s="1264"/>
      <c r="AR21" s="1264"/>
      <c r="AS21" s="249"/>
      <c r="AV21" s="422"/>
      <c r="AW21" s="422"/>
      <c r="AX21" s="422"/>
      <c r="AY21" s="422"/>
      <c r="AZ21" s="422"/>
    </row>
    <row r="22" spans="1:52" ht="14.25" hidden="1" customHeight="1">
      <c r="AA22" s="249"/>
      <c r="AS22" s="249"/>
      <c r="AV22" s="422"/>
      <c r="AW22" s="422"/>
      <c r="AX22" s="422"/>
      <c r="AY22" s="422"/>
      <c r="AZ22" s="422"/>
    </row>
    <row r="23" spans="1:52" s="1421" customFormat="1" ht="14.25" hidden="1" customHeight="1">
      <c r="M23" s="1420"/>
      <c r="N23" s="1420"/>
      <c r="O23" s="1421" t="s">
        <v>478</v>
      </c>
      <c r="P23" s="1420"/>
      <c r="Q23" s="1422"/>
      <c r="R23" s="1422"/>
      <c r="Y23" s="1419" t="s">
        <v>480</v>
      </c>
      <c r="AA23" s="1419" t="s">
        <v>481</v>
      </c>
      <c r="AB23" s="1419" t="s">
        <v>541</v>
      </c>
      <c r="AE23" s="1419" t="s">
        <v>542</v>
      </c>
      <c r="AF23" s="1419" t="s">
        <v>541</v>
      </c>
      <c r="AI23" s="1419" t="s">
        <v>543</v>
      </c>
      <c r="AJ23" s="1419" t="s">
        <v>541</v>
      </c>
      <c r="AM23" s="1419" t="s">
        <v>544</v>
      </c>
      <c r="AQ23" s="1419" t="s">
        <v>480</v>
      </c>
      <c r="AS23" s="1419" t="s">
        <v>481</v>
      </c>
      <c r="AV23" s="1423"/>
      <c r="AW23" s="1423"/>
      <c r="AX23" s="1423"/>
      <c r="AY23" s="1423"/>
      <c r="AZ23" s="1423"/>
    </row>
    <row r="24" spans="1:52" ht="14.25" hidden="1" customHeight="1">
      <c r="O24" s="1282"/>
      <c r="AV24" s="422"/>
      <c r="AW24" s="422"/>
      <c r="AX24" s="422"/>
      <c r="AY24" s="422"/>
      <c r="AZ24" s="422"/>
    </row>
    <row r="25" spans="1:52" ht="14.25" hidden="1" customHeight="1">
      <c r="O25" s="1282"/>
      <c r="AV25" s="422"/>
      <c r="AW25" s="422"/>
      <c r="AX25" s="422"/>
      <c r="AY25" s="422"/>
      <c r="AZ25" s="422"/>
    </row>
    <row r="26" spans="1:52" ht="14.25" customHeight="1">
      <c r="Q26" s="206"/>
      <c r="R26" s="300"/>
      <c r="S26" s="1197"/>
      <c r="T26" s="286"/>
      <c r="U26" s="286"/>
      <c r="V26" s="435"/>
      <c r="W26" s="435"/>
      <c r="X26" s="435"/>
      <c r="Y26" s="435"/>
      <c r="Z26" s="435"/>
      <c r="AA26" s="435"/>
      <c r="AB26" s="435"/>
      <c r="AC26" s="435"/>
      <c r="AD26" s="435"/>
      <c r="AE26" s="435"/>
      <c r="AF26" s="435"/>
      <c r="AG26" s="435"/>
      <c r="AH26" s="435"/>
      <c r="AI26" s="435"/>
      <c r="AJ26" s="435"/>
      <c r="AK26" s="435"/>
      <c r="AL26" s="435"/>
      <c r="AM26" s="435"/>
      <c r="AN26" s="435"/>
      <c r="AO26" s="435"/>
      <c r="AP26" s="435"/>
      <c r="AQ26" s="435"/>
      <c r="AR26" s="435"/>
      <c r="AS26" s="435"/>
    </row>
    <row r="27" spans="1:52" ht="33.75" customHeight="1">
      <c r="Q27" s="206"/>
      <c r="R27" s="300"/>
      <c r="S27" s="2101" t="str">
        <f>IF(TEMPLATE_GROUP="P",PT_P_FORM_HEAT_7_NAME_FORM,PT_R_FORM_HEAT_24_NAME_FORM)</f>
        <v>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v>
      </c>
      <c r="T27" s="2101"/>
      <c r="U27" s="2101"/>
      <c r="V27" s="2101"/>
      <c r="W27" s="2101"/>
      <c r="X27" s="2101"/>
      <c r="Y27" s="2101"/>
      <c r="Z27" s="2101"/>
      <c r="AA27" s="2101"/>
      <c r="AB27" s="2101"/>
      <c r="AC27" s="2101"/>
      <c r="AD27" s="2101"/>
      <c r="AE27" s="2101"/>
      <c r="AF27" s="2101"/>
      <c r="AG27" s="2101"/>
      <c r="AH27" s="2101"/>
      <c r="AI27" s="2101"/>
      <c r="AJ27" s="2101"/>
      <c r="AK27" s="2101"/>
      <c r="AL27" s="2101"/>
      <c r="AM27" s="2101"/>
      <c r="AN27" s="2101"/>
      <c r="AO27" s="2101"/>
      <c r="AP27" s="2101"/>
      <c r="AQ27" s="2101"/>
      <c r="AR27" s="2101"/>
      <c r="AS27" s="1154"/>
    </row>
    <row r="28" spans="1:52" ht="14.25" customHeight="1">
      <c r="Q28" s="206"/>
      <c r="R28" s="300"/>
      <c r="S28" s="1961" t="str">
        <f>IF(org=0,"Не определено",org)</f>
        <v>АО СЗ "КМАпроектжилстрой"</v>
      </c>
      <c r="T28" s="1961"/>
      <c r="U28" s="1961"/>
      <c r="V28" s="1961"/>
      <c r="W28" s="1961"/>
      <c r="X28" s="1961"/>
      <c r="Y28" s="1961"/>
      <c r="Z28" s="1961"/>
      <c r="AA28" s="1961"/>
      <c r="AB28" s="1961"/>
      <c r="AC28" s="1961"/>
      <c r="AD28" s="1961"/>
      <c r="AE28" s="1961"/>
      <c r="AF28" s="1961"/>
      <c r="AG28" s="1961"/>
      <c r="AH28" s="1961"/>
      <c r="AI28" s="1961"/>
      <c r="AJ28" s="1961"/>
      <c r="AK28" s="1961"/>
      <c r="AL28" s="1961"/>
      <c r="AM28" s="1961"/>
      <c r="AN28" s="1961"/>
      <c r="AO28" s="1961"/>
      <c r="AP28" s="1961"/>
      <c r="AQ28" s="1961"/>
      <c r="AR28" s="1961"/>
      <c r="AS28" s="1154"/>
    </row>
    <row r="29" spans="1:52" ht="14.25" hidden="1" customHeight="1">
      <c r="Q29" s="206"/>
      <c r="R29" s="300"/>
      <c r="S29" s="1197"/>
      <c r="T29" s="286"/>
      <c r="U29" s="286"/>
      <c r="V29" s="242"/>
      <c r="W29" s="242"/>
      <c r="X29" s="242"/>
      <c r="Y29" s="242"/>
      <c r="Z29" s="242"/>
      <c r="AA29" s="242"/>
      <c r="AB29" s="242"/>
      <c r="AC29" s="242"/>
      <c r="AD29" s="242"/>
      <c r="AE29" s="242"/>
      <c r="AF29" s="242"/>
      <c r="AG29" s="242"/>
      <c r="AH29" s="242"/>
      <c r="AI29" s="242"/>
      <c r="AJ29" s="242"/>
      <c r="AK29" s="242"/>
      <c r="AL29" s="242"/>
      <c r="AM29" s="242"/>
      <c r="AN29" s="242"/>
      <c r="AO29" s="242"/>
      <c r="AP29" s="242"/>
      <c r="AQ29" s="242"/>
      <c r="AR29" s="242"/>
      <c r="AS29" s="242"/>
      <c r="AT29" s="435"/>
    </row>
    <row r="30" spans="1:52" s="1773" customFormat="1" ht="25.5" hidden="1" customHeight="1">
      <c r="A30" s="1286"/>
      <c r="B30" s="1286"/>
      <c r="C30" s="1286"/>
      <c r="D30" s="1286"/>
      <c r="E30" s="1286"/>
      <c r="F30" s="1286"/>
      <c r="G30" s="1286"/>
      <c r="H30" s="1286"/>
      <c r="I30" s="1286"/>
      <c r="J30" s="1286"/>
      <c r="K30" s="1286"/>
      <c r="L30" s="1287"/>
      <c r="M30" s="1286"/>
      <c r="N30" s="1286"/>
      <c r="O30" s="1286"/>
      <c r="P30" s="1286"/>
      <c r="Q30" s="1286"/>
      <c r="S30" s="2067" t="s">
        <v>40</v>
      </c>
      <c r="T30" s="2067"/>
      <c r="U30" s="1290"/>
      <c r="V30" s="2069"/>
      <c r="W30" s="2069"/>
      <c r="X30" s="2069"/>
      <c r="Y30" s="2069"/>
      <c r="Z30" s="2069"/>
      <c r="AA30" s="248"/>
      <c r="AB30" s="2069" t="str">
        <f>IF(TITLE_NAME_OR_PR_CHANGE="",IF(TITLE_NAME_OR_PR="","",TITLE_NAME_OR_PR),TITLE_NAME_OR_PR_CHANGE)</f>
        <v/>
      </c>
      <c r="AC30" s="2069"/>
      <c r="AD30" s="2069"/>
      <c r="AE30" s="2069"/>
      <c r="AF30" s="2069"/>
      <c r="AG30" s="2069"/>
      <c r="AH30" s="2069"/>
      <c r="AI30" s="2069"/>
      <c r="AJ30" s="2069"/>
      <c r="AK30" s="2069"/>
      <c r="AL30" s="2069"/>
      <c r="AM30" s="2069"/>
      <c r="AN30" s="2069"/>
      <c r="AO30" s="2069"/>
      <c r="AP30" s="2069"/>
      <c r="AQ30" s="2069"/>
      <c r="AR30" s="2069"/>
      <c r="AS30" s="248"/>
      <c r="AT30" s="248"/>
      <c r="AU30" s="196"/>
      <c r="AV30" s="292"/>
      <c r="AW30" s="292"/>
      <c r="AX30" s="292"/>
      <c r="AY30" s="292"/>
      <c r="AZ30" s="292"/>
    </row>
    <row r="31" spans="1:52" s="1773" customFormat="1" ht="18.75" hidden="1" customHeight="1">
      <c r="A31" s="1286"/>
      <c r="B31" s="1286"/>
      <c r="C31" s="1286"/>
      <c r="D31" s="1286"/>
      <c r="E31" s="1286"/>
      <c r="F31" s="1286"/>
      <c r="G31" s="1286"/>
      <c r="H31" s="1286"/>
      <c r="I31" s="1286"/>
      <c r="J31" s="1286"/>
      <c r="K31" s="1286"/>
      <c r="L31" s="1287"/>
      <c r="M31" s="1286"/>
      <c r="N31" s="1286"/>
      <c r="O31" s="1286"/>
      <c r="P31" s="1286"/>
      <c r="Q31" s="1286"/>
      <c r="S31" s="2067" t="s">
        <v>483</v>
      </c>
      <c r="T31" s="2067"/>
      <c r="U31" s="1290"/>
      <c r="V31" s="2068"/>
      <c r="W31" s="2068"/>
      <c r="X31" s="2068"/>
      <c r="Y31" s="2068"/>
      <c r="Z31" s="2068"/>
      <c r="AA31" s="248"/>
      <c r="AB31" s="2068" t="str">
        <f>IF(TITLE_DATE_CHANGE_PERIOD="",IF(TITLE_DATE_PR="","",TITLE_DATE_PR),TITLE_DATE_CHANGE_PERIOD)</f>
        <v/>
      </c>
      <c r="AC31" s="2068"/>
      <c r="AD31" s="2068"/>
      <c r="AE31" s="2068"/>
      <c r="AF31" s="2068"/>
      <c r="AG31" s="2068"/>
      <c r="AH31" s="2068"/>
      <c r="AI31" s="2068"/>
      <c r="AJ31" s="2068"/>
      <c r="AK31" s="2068"/>
      <c r="AL31" s="2068"/>
      <c r="AM31" s="2068"/>
      <c r="AN31" s="2068"/>
      <c r="AO31" s="2068"/>
      <c r="AP31" s="2068"/>
      <c r="AQ31" s="2068"/>
      <c r="AR31" s="2068"/>
      <c r="AS31" s="248"/>
      <c r="AT31" s="248"/>
      <c r="AU31" s="196"/>
      <c r="AV31" s="292"/>
      <c r="AW31" s="292"/>
      <c r="AX31" s="292"/>
      <c r="AY31" s="292"/>
      <c r="AZ31" s="292"/>
    </row>
    <row r="32" spans="1:52" s="1773" customFormat="1" ht="18.75" hidden="1" customHeight="1">
      <c r="A32" s="1286"/>
      <c r="B32" s="1286"/>
      <c r="C32" s="1286"/>
      <c r="D32" s="1286"/>
      <c r="E32" s="1286"/>
      <c r="F32" s="1286"/>
      <c r="G32" s="1286"/>
      <c r="H32" s="1286"/>
      <c r="I32" s="1286"/>
      <c r="J32" s="1286"/>
      <c r="K32" s="1286"/>
      <c r="L32" s="1287"/>
      <c r="M32" s="1286"/>
      <c r="N32" s="1286"/>
      <c r="O32" s="1286"/>
      <c r="P32" s="1286"/>
      <c r="Q32" s="1286"/>
      <c r="S32" s="2067" t="s">
        <v>484</v>
      </c>
      <c r="T32" s="2067"/>
      <c r="U32" s="1290"/>
      <c r="V32" s="2069"/>
      <c r="W32" s="2069"/>
      <c r="X32" s="2069"/>
      <c r="Y32" s="2069"/>
      <c r="Z32" s="2069"/>
      <c r="AA32" s="248"/>
      <c r="AB32" s="2069" t="str">
        <f>IF(TITLE_NUMBER_PR_CHANGE="",IF(TITLE_NUMBER_PR="","",TITLE_NUMBER_PR),TITLE_NUMBER_PR_CHANGE)</f>
        <v/>
      </c>
      <c r="AC32" s="2069"/>
      <c r="AD32" s="2069"/>
      <c r="AE32" s="2069"/>
      <c r="AF32" s="2069"/>
      <c r="AG32" s="2069"/>
      <c r="AH32" s="2069"/>
      <c r="AI32" s="2069"/>
      <c r="AJ32" s="2069"/>
      <c r="AK32" s="2069"/>
      <c r="AL32" s="2069"/>
      <c r="AM32" s="2069"/>
      <c r="AN32" s="2069"/>
      <c r="AO32" s="2069"/>
      <c r="AP32" s="2069"/>
      <c r="AQ32" s="2069"/>
      <c r="AR32" s="2069"/>
      <c r="AS32" s="248"/>
      <c r="AT32" s="248"/>
      <c r="AU32" s="196"/>
      <c r="AV32" s="292"/>
      <c r="AW32" s="292"/>
      <c r="AX32" s="292"/>
      <c r="AY32" s="292"/>
      <c r="AZ32" s="292"/>
    </row>
    <row r="33" spans="1:52" s="1773" customFormat="1" ht="18.75" hidden="1" customHeight="1">
      <c r="A33" s="1286"/>
      <c r="B33" s="1286"/>
      <c r="C33" s="1286"/>
      <c r="D33" s="1286"/>
      <c r="E33" s="1286"/>
      <c r="F33" s="1286"/>
      <c r="G33" s="1286"/>
      <c r="H33" s="1286"/>
      <c r="I33" s="1286"/>
      <c r="J33" s="1286"/>
      <c r="K33" s="1286"/>
      <c r="L33" s="1287"/>
      <c r="M33" s="1286"/>
      <c r="N33" s="1286"/>
      <c r="O33" s="1286"/>
      <c r="P33" s="1286"/>
      <c r="Q33" s="1286"/>
      <c r="S33" s="2067" t="s">
        <v>41</v>
      </c>
      <c r="T33" s="2067"/>
      <c r="U33" s="1290"/>
      <c r="V33" s="2069"/>
      <c r="W33" s="2069"/>
      <c r="X33" s="2069"/>
      <c r="Y33" s="2069"/>
      <c r="Z33" s="2069"/>
      <c r="AA33" s="248"/>
      <c r="AB33" s="2069" t="str">
        <f>IF(TITLE_IST_PUB_CHANGE="",IF(TITLE_IST_PUB="","",TITLE_IST_PUB),TITLE_IST_PUB_CHANGE)</f>
        <v/>
      </c>
      <c r="AC33" s="2069"/>
      <c r="AD33" s="2069"/>
      <c r="AE33" s="2069"/>
      <c r="AF33" s="2069"/>
      <c r="AG33" s="2069"/>
      <c r="AH33" s="2069"/>
      <c r="AI33" s="2069"/>
      <c r="AJ33" s="2069"/>
      <c r="AK33" s="2069"/>
      <c r="AL33" s="2069"/>
      <c r="AM33" s="2069"/>
      <c r="AN33" s="2069"/>
      <c r="AO33" s="2069"/>
      <c r="AP33" s="2069"/>
      <c r="AQ33" s="2069"/>
      <c r="AR33" s="2069"/>
      <c r="AS33" s="248"/>
      <c r="AT33" s="248"/>
      <c r="AU33" s="196"/>
      <c r="AV33" s="292"/>
      <c r="AW33" s="292"/>
      <c r="AX33" s="292"/>
      <c r="AY33" s="292"/>
      <c r="AZ33" s="292"/>
    </row>
    <row r="34" spans="1:52" ht="14.25" hidden="1" customHeight="1">
      <c r="Q34" s="206"/>
      <c r="R34" s="300"/>
      <c r="S34" s="1197"/>
      <c r="T34" s="286"/>
      <c r="U34" s="286"/>
      <c r="V34" s="242"/>
      <c r="W34" s="242"/>
      <c r="X34" s="242"/>
      <c r="Y34" s="242"/>
      <c r="Z34" s="242"/>
      <c r="AA34" s="242"/>
      <c r="AB34" s="242"/>
      <c r="AC34" s="242"/>
      <c r="AD34" s="242"/>
      <c r="AE34" s="242"/>
      <c r="AF34" s="242"/>
      <c r="AG34" s="242"/>
      <c r="AH34" s="242"/>
      <c r="AI34" s="242"/>
      <c r="AJ34" s="242"/>
      <c r="AK34" s="242"/>
      <c r="AL34" s="242"/>
      <c r="AM34" s="242"/>
      <c r="AN34" s="242"/>
      <c r="AO34" s="242"/>
      <c r="AP34" s="242"/>
      <c r="AQ34" s="242"/>
      <c r="AR34" s="242"/>
      <c r="AS34" s="242"/>
      <c r="AT34" s="435"/>
    </row>
    <row r="35" spans="1:52" s="1773" customFormat="1" ht="18.75" hidden="1" customHeight="1">
      <c r="A35" s="1286"/>
      <c r="B35" s="1286"/>
      <c r="C35" s="1286"/>
      <c r="D35" s="1286"/>
      <c r="E35" s="1286"/>
      <c r="F35" s="1286"/>
      <c r="G35" s="1286"/>
      <c r="H35" s="1286"/>
      <c r="I35" s="1286"/>
      <c r="J35" s="1286"/>
      <c r="K35" s="1286"/>
      <c r="L35" s="1287"/>
      <c r="M35" s="1286"/>
      <c r="N35" s="1286"/>
      <c r="O35" s="1286"/>
      <c r="P35" s="1286"/>
      <c r="Q35" s="1286"/>
      <c r="S35" s="2067" t="s">
        <v>483</v>
      </c>
      <c r="T35" s="2067"/>
      <c r="U35" s="1290"/>
      <c r="V35" s="2068"/>
      <c r="W35" s="2068"/>
      <c r="X35" s="2068"/>
      <c r="Y35" s="2068"/>
      <c r="Z35" s="2068"/>
      <c r="AA35" s="248"/>
      <c r="AB35" s="2068" t="str">
        <f>IF(TITLE_DATE_CHANGE_PERIOD="",IF(TITLE_DATE_PR="","",TITLE_DATE_PR),TITLE_DATE_CHANGE_PERIOD)</f>
        <v/>
      </c>
      <c r="AC35" s="2068"/>
      <c r="AD35" s="2068"/>
      <c r="AE35" s="2068"/>
      <c r="AF35" s="2068"/>
      <c r="AG35" s="2068"/>
      <c r="AH35" s="2068"/>
      <c r="AI35" s="2068"/>
      <c r="AJ35" s="2068"/>
      <c r="AK35" s="2068"/>
      <c r="AL35" s="2068"/>
      <c r="AM35" s="2068"/>
      <c r="AN35" s="2068"/>
      <c r="AO35" s="2068"/>
      <c r="AP35" s="2068"/>
      <c r="AQ35" s="2068"/>
      <c r="AR35" s="2068"/>
      <c r="AS35" s="248"/>
      <c r="AT35" s="248"/>
      <c r="AU35" s="196"/>
      <c r="AV35" s="292"/>
      <c r="AW35" s="292"/>
      <c r="AX35" s="292"/>
      <c r="AY35" s="292"/>
      <c r="AZ35" s="292"/>
    </row>
    <row r="36" spans="1:52" s="1773" customFormat="1" ht="18" hidden="1" customHeight="1">
      <c r="A36" s="1286"/>
      <c r="B36" s="1286"/>
      <c r="C36" s="1286"/>
      <c r="D36" s="1286"/>
      <c r="E36" s="1286"/>
      <c r="F36" s="1286"/>
      <c r="G36" s="1286"/>
      <c r="H36" s="1286"/>
      <c r="I36" s="1286"/>
      <c r="J36" s="1286"/>
      <c r="K36" s="1286"/>
      <c r="L36" s="1287"/>
      <c r="M36" s="1286"/>
      <c r="N36" s="1286"/>
      <c r="O36" s="1286"/>
      <c r="P36" s="1286"/>
      <c r="Q36" s="1286"/>
      <c r="S36" s="2067" t="s">
        <v>484</v>
      </c>
      <c r="T36" s="2067"/>
      <c r="U36" s="1290"/>
      <c r="V36" s="2069"/>
      <c r="W36" s="2069"/>
      <c r="X36" s="2069"/>
      <c r="Y36" s="2069"/>
      <c r="Z36" s="2069"/>
      <c r="AA36" s="248"/>
      <c r="AB36" s="2069" t="str">
        <f>IF(TITLE_NUMBER_PR_CHANGE="",IF(TITLE_NUMBER_PR="","",TITLE_NUMBER_PR),TITLE_NUMBER_PR_CHANGE)</f>
        <v/>
      </c>
      <c r="AC36" s="2069"/>
      <c r="AD36" s="2069"/>
      <c r="AE36" s="2069"/>
      <c r="AF36" s="2069"/>
      <c r="AG36" s="2069"/>
      <c r="AH36" s="2069"/>
      <c r="AI36" s="2069"/>
      <c r="AJ36" s="2069"/>
      <c r="AK36" s="2069"/>
      <c r="AL36" s="2069"/>
      <c r="AM36" s="2069"/>
      <c r="AN36" s="2069"/>
      <c r="AO36" s="2069"/>
      <c r="AP36" s="2069"/>
      <c r="AQ36" s="2069"/>
      <c r="AR36" s="2069"/>
      <c r="AS36" s="248"/>
      <c r="AT36" s="248"/>
      <c r="AU36" s="196"/>
      <c r="AV36" s="292"/>
      <c r="AW36" s="292"/>
      <c r="AX36" s="292"/>
      <c r="AY36" s="292"/>
      <c r="AZ36" s="292"/>
    </row>
    <row r="37" spans="1:52" s="1773" customFormat="1" ht="0.75" customHeight="1">
      <c r="A37" s="1286"/>
      <c r="B37" s="1286"/>
      <c r="C37" s="1286"/>
      <c r="D37" s="1286"/>
      <c r="E37" s="1286"/>
      <c r="F37" s="1286"/>
      <c r="G37" s="1286"/>
      <c r="H37" s="1286"/>
      <c r="I37" s="1286"/>
      <c r="J37" s="1286"/>
      <c r="K37" s="1286"/>
      <c r="L37" s="1287"/>
      <c r="M37" s="1286"/>
      <c r="N37" s="1286"/>
      <c r="O37" s="1286"/>
      <c r="P37" s="1286"/>
      <c r="Q37" s="1286"/>
      <c r="S37" s="244"/>
      <c r="T37" s="244"/>
      <c r="U37" s="1259"/>
      <c r="V37" s="248"/>
      <c r="W37" s="248"/>
      <c r="X37" s="248"/>
      <c r="Y37" s="248"/>
      <c r="Z37" s="248"/>
      <c r="AA37" s="194" t="s">
        <v>487</v>
      </c>
      <c r="AB37" s="248"/>
      <c r="AC37" s="248"/>
      <c r="AD37" s="248"/>
      <c r="AE37" s="248"/>
      <c r="AF37" s="248"/>
      <c r="AG37" s="248"/>
      <c r="AH37" s="248"/>
      <c r="AI37" s="248"/>
      <c r="AJ37" s="248"/>
      <c r="AK37" s="248"/>
      <c r="AL37" s="248"/>
      <c r="AM37" s="248"/>
      <c r="AN37" s="248"/>
      <c r="AO37" s="248"/>
      <c r="AP37" s="248"/>
      <c r="AQ37" s="248"/>
      <c r="AR37" s="248"/>
      <c r="AS37" s="194" t="s">
        <v>487</v>
      </c>
      <c r="AV37" s="292"/>
      <c r="AW37" s="292"/>
      <c r="AX37" s="292"/>
      <c r="AY37" s="292"/>
      <c r="AZ37" s="292"/>
    </row>
    <row r="38" spans="1:52" ht="14.25" customHeight="1">
      <c r="Q38" s="206"/>
      <c r="R38" s="300"/>
      <c r="S38" s="1197"/>
      <c r="T38" s="286"/>
      <c r="U38" s="1155"/>
      <c r="V38" s="2087"/>
      <c r="W38" s="2087"/>
      <c r="X38" s="2087"/>
      <c r="Y38" s="2087"/>
      <c r="Z38" s="2087"/>
      <c r="AA38" s="2087"/>
      <c r="AB38" s="2087"/>
      <c r="AC38" s="2087"/>
      <c r="AD38" s="2087"/>
      <c r="AE38" s="2087"/>
      <c r="AF38" s="2087"/>
      <c r="AG38" s="2087"/>
      <c r="AH38" s="2087"/>
      <c r="AI38" s="2087"/>
      <c r="AJ38" s="2087"/>
      <c r="AK38" s="2087"/>
      <c r="AL38" s="2087"/>
      <c r="AM38" s="2087"/>
      <c r="AN38" s="2087"/>
      <c r="AO38" s="2087"/>
      <c r="AP38" s="2087"/>
      <c r="AQ38" s="2087"/>
      <c r="AR38" s="2087"/>
      <c r="AS38" s="2087"/>
    </row>
    <row r="39" spans="1:52" ht="14.25" customHeight="1">
      <c r="Q39" s="206"/>
      <c r="R39" s="300"/>
      <c r="S39" s="1874" t="s">
        <v>291</v>
      </c>
      <c r="T39" s="1874"/>
      <c r="U39" s="1874"/>
      <c r="V39" s="1874"/>
      <c r="W39" s="1874"/>
      <c r="X39" s="1874"/>
      <c r="Y39" s="1874"/>
      <c r="Z39" s="1874"/>
      <c r="AA39" s="1874"/>
      <c r="AB39" s="1928"/>
      <c r="AC39" s="1928"/>
      <c r="AD39" s="1928"/>
      <c r="AE39" s="1928"/>
      <c r="AF39" s="1874"/>
      <c r="AG39" s="1874"/>
      <c r="AH39" s="1874"/>
      <c r="AI39" s="1874"/>
      <c r="AJ39" s="1874"/>
      <c r="AK39" s="1874"/>
      <c r="AL39" s="1874"/>
      <c r="AM39" s="1874"/>
      <c r="AN39" s="1874"/>
      <c r="AO39" s="1874"/>
      <c r="AP39" s="1874"/>
      <c r="AQ39" s="1874"/>
      <c r="AR39" s="1874"/>
      <c r="AS39" s="1874"/>
      <c r="AT39" s="1874"/>
      <c r="AU39" s="1874" t="s">
        <v>292</v>
      </c>
    </row>
    <row r="40" spans="1:52" ht="14.25" customHeight="1">
      <c r="Q40" s="206"/>
      <c r="R40" s="300"/>
      <c r="S40" s="2088" t="s">
        <v>88</v>
      </c>
      <c r="T40" s="1959" t="s">
        <v>545</v>
      </c>
      <c r="U40" s="215"/>
      <c r="V40" s="2090"/>
      <c r="W40" s="2090"/>
      <c r="X40" s="2090"/>
      <c r="Y40" s="2090"/>
      <c r="Z40" s="2091"/>
      <c r="AA40" s="2131" t="s">
        <v>490</v>
      </c>
      <c r="AB40" s="2115" t="s">
        <v>546</v>
      </c>
      <c r="AC40" s="2104"/>
      <c r="AD40" s="2104"/>
      <c r="AE40" s="2116"/>
      <c r="AF40" s="2104" t="s">
        <v>547</v>
      </c>
      <c r="AG40" s="2104"/>
      <c r="AH40" s="2104"/>
      <c r="AI40" s="2116"/>
      <c r="AJ40" s="2115" t="s">
        <v>548</v>
      </c>
      <c r="AK40" s="2104"/>
      <c r="AL40" s="2104"/>
      <c r="AM40" s="2116"/>
      <c r="AN40" s="2115" t="s">
        <v>489</v>
      </c>
      <c r="AO40" s="2104"/>
      <c r="AP40" s="2090"/>
      <c r="AQ40" s="2090"/>
      <c r="AR40" s="2091"/>
      <c r="AS40" s="2092" t="s">
        <v>490</v>
      </c>
      <c r="AT40" s="2095" t="s">
        <v>492</v>
      </c>
      <c r="AU40" s="1874"/>
    </row>
    <row r="41" spans="1:52" ht="33.75" customHeight="1">
      <c r="Q41" s="206"/>
      <c r="R41" s="300"/>
      <c r="S41" s="2088"/>
      <c r="T41" s="1959"/>
      <c r="U41" s="939"/>
      <c r="V41" s="1929" t="s">
        <v>549</v>
      </c>
      <c r="W41" s="1930"/>
      <c r="X41" s="1929" t="s">
        <v>496</v>
      </c>
      <c r="Y41" s="2109"/>
      <c r="Z41" s="1930"/>
      <c r="AA41" s="2132"/>
      <c r="AB41" s="2117"/>
      <c r="AC41" s="2118"/>
      <c r="AD41" s="2118"/>
      <c r="AE41" s="2130"/>
      <c r="AF41" s="2118"/>
      <c r="AG41" s="2118"/>
      <c r="AH41" s="2118"/>
      <c r="AI41" s="2130"/>
      <c r="AJ41" s="2117"/>
      <c r="AK41" s="2118"/>
      <c r="AL41" s="2118"/>
      <c r="AM41" s="2118"/>
      <c r="AN41" s="1874" t="s">
        <v>550</v>
      </c>
      <c r="AO41" s="1874"/>
      <c r="AP41" s="2109" t="s">
        <v>496</v>
      </c>
      <c r="AQ41" s="2109"/>
      <c r="AR41" s="1930"/>
      <c r="AS41" s="2093"/>
      <c r="AT41" s="2096"/>
      <c r="AU41" s="1874"/>
    </row>
    <row r="42" spans="1:52" ht="14.25" customHeight="1">
      <c r="Q42" s="206"/>
      <c r="R42" s="300"/>
      <c r="S42" s="2088"/>
      <c r="T42" s="1959"/>
      <c r="U42" s="939"/>
      <c r="V42" s="1934"/>
      <c r="W42" s="1935"/>
      <c r="X42" s="1934"/>
      <c r="Y42" s="2110"/>
      <c r="Z42" s="1935"/>
      <c r="AA42" s="2132"/>
      <c r="AB42" s="2117"/>
      <c r="AC42" s="2118"/>
      <c r="AD42" s="2118"/>
      <c r="AE42" s="2130"/>
      <c r="AF42" s="2118"/>
      <c r="AG42" s="2118"/>
      <c r="AH42" s="2118"/>
      <c r="AI42" s="2130"/>
      <c r="AJ42" s="2117"/>
      <c r="AK42" s="2118"/>
      <c r="AL42" s="2118"/>
      <c r="AM42" s="2118"/>
      <c r="AN42" s="2134"/>
      <c r="AO42" s="2134"/>
      <c r="AP42" s="2110"/>
      <c r="AQ42" s="2110"/>
      <c r="AR42" s="1935"/>
      <c r="AS42" s="2093"/>
      <c r="AT42" s="2096"/>
      <c r="AU42" s="1874"/>
    </row>
    <row r="43" spans="1:52" ht="14.25" customHeight="1">
      <c r="A43" s="1288"/>
      <c r="B43" s="1288" t="s">
        <v>140</v>
      </c>
      <c r="C43" s="1288" t="s">
        <v>141</v>
      </c>
      <c r="D43" s="1288" t="s">
        <v>142</v>
      </c>
      <c r="E43" s="1282" t="s">
        <v>497</v>
      </c>
      <c r="F43" s="1282" t="s">
        <v>498</v>
      </c>
      <c r="G43" s="1282" t="s">
        <v>499</v>
      </c>
      <c r="H43" s="1282" t="s">
        <v>500</v>
      </c>
      <c r="I43" s="1282" t="s">
        <v>501</v>
      </c>
      <c r="J43" s="1282" t="s">
        <v>502</v>
      </c>
      <c r="K43" s="1282" t="s">
        <v>503</v>
      </c>
      <c r="L43" s="1282" t="s">
        <v>478</v>
      </c>
      <c r="Q43" s="206"/>
      <c r="R43" s="300"/>
      <c r="S43" s="2088"/>
      <c r="T43" s="1959"/>
      <c r="U43" s="216"/>
      <c r="V43" s="1249" t="s">
        <v>551</v>
      </c>
      <c r="W43" s="1249" t="s">
        <v>552</v>
      </c>
      <c r="X43" s="1257" t="s">
        <v>506</v>
      </c>
      <c r="Y43" s="1965" t="s">
        <v>507</v>
      </c>
      <c r="Z43" s="1979"/>
      <c r="AA43" s="2133"/>
      <c r="AB43" s="2119"/>
      <c r="AC43" s="2120"/>
      <c r="AD43" s="2120"/>
      <c r="AE43" s="2121"/>
      <c r="AF43" s="2120"/>
      <c r="AG43" s="2120"/>
      <c r="AH43" s="2120"/>
      <c r="AI43" s="2121"/>
      <c r="AJ43" s="2119"/>
      <c r="AK43" s="2120"/>
      <c r="AL43" s="2120"/>
      <c r="AM43" s="2121"/>
      <c r="AN43" s="1782" t="s">
        <v>551</v>
      </c>
      <c r="AO43" s="1782" t="s">
        <v>552</v>
      </c>
      <c r="AP43" s="1257" t="s">
        <v>506</v>
      </c>
      <c r="AQ43" s="1965" t="s">
        <v>507</v>
      </c>
      <c r="AR43" s="1979"/>
      <c r="AS43" s="2094"/>
      <c r="AT43" s="2097"/>
      <c r="AU43" s="1874"/>
    </row>
    <row r="44" spans="1:52" s="1558" customFormat="1" ht="11.25" hidden="1" customHeight="1">
      <c r="A44" s="1288"/>
      <c r="B44" s="1288"/>
      <c r="C44" s="1288"/>
      <c r="D44" s="1288"/>
      <c r="E44" s="1288"/>
      <c r="F44" s="1288"/>
      <c r="G44" s="1288"/>
      <c r="H44" s="1288"/>
      <c r="I44" s="1288"/>
      <c r="J44" s="1288"/>
      <c r="K44" s="1288"/>
      <c r="L44" s="1282"/>
      <c r="M44" s="1280"/>
      <c r="N44" s="1280"/>
      <c r="O44" s="1280"/>
      <c r="P44" s="436"/>
      <c r="Q44" s="1173"/>
      <c r="R44" s="1173">
        <v>1</v>
      </c>
      <c r="S44" s="1199" t="s">
        <v>109</v>
      </c>
      <c r="T44" s="1174" t="s">
        <v>110</v>
      </c>
      <c r="U44" s="1156" t="str">
        <f ca="1">OFFSET(U44,0,-1)</f>
        <v>2</v>
      </c>
      <c r="V44" s="1254">
        <f ca="1">OFFSET(V44,0,-1)+1</f>
        <v>3</v>
      </c>
      <c r="W44" s="1254">
        <f ca="1">OFFSET(W44,0,-1)+1</f>
        <v>4</v>
      </c>
      <c r="X44" s="1254">
        <f ca="1">OFFSET(X44,0,-1)+1</f>
        <v>5</v>
      </c>
      <c r="Y44" s="2086">
        <f ca="1">OFFSET(Y44,0,-1)+1</f>
        <v>6</v>
      </c>
      <c r="Z44" s="2086"/>
      <c r="AA44" s="1254">
        <f ca="1">OFFSET(AA44,0,-2)+1</f>
        <v>7</v>
      </c>
      <c r="AB44" s="1260">
        <f ca="1">OFFSET(AB44,0,-1)+1</f>
        <v>8</v>
      </c>
      <c r="AC44" s="1260"/>
      <c r="AD44" s="1260"/>
      <c r="AE44" s="1260"/>
      <c r="AF44" s="1254"/>
      <c r="AG44" s="1254"/>
      <c r="AH44" s="1254"/>
      <c r="AI44" s="1254"/>
      <c r="AJ44" s="1254"/>
      <c r="AK44" s="1254"/>
      <c r="AL44" s="1254"/>
      <c r="AM44" s="1254"/>
      <c r="AN44" s="1254">
        <f ca="1">OFFSET(AN44,0,-1)+1</f>
        <v>1</v>
      </c>
      <c r="AO44" s="1254">
        <f ca="1">OFFSET(AO44,0,-1)+1</f>
        <v>2</v>
      </c>
      <c r="AP44" s="1254">
        <f ca="1">OFFSET(AP44,0,-1)+1</f>
        <v>3</v>
      </c>
      <c r="AQ44" s="2086">
        <f ca="1">OFFSET(AQ44,0,-1)+1</f>
        <v>4</v>
      </c>
      <c r="AR44" s="2086"/>
      <c r="AS44" s="1254">
        <f ca="1">OFFSET(AS44,0,-2)+1</f>
        <v>5</v>
      </c>
      <c r="AT44" s="1156">
        <f ca="1">OFFSET(AT44,0,-1)</f>
        <v>5</v>
      </c>
      <c r="AU44" s="1254">
        <f ca="1">OFFSET(AU44,0,-1)+1</f>
        <v>6</v>
      </c>
      <c r="AV44" s="437"/>
      <c r="AW44" s="437"/>
      <c r="AX44" s="437"/>
      <c r="AY44" s="437"/>
      <c r="AZ44" s="437"/>
    </row>
    <row r="45" spans="1:52" ht="102" customHeight="1">
      <c r="A45" s="1281" t="s">
        <v>203</v>
      </c>
      <c r="B45" s="1281"/>
      <c r="C45" s="1281"/>
      <c r="D45" s="1281"/>
      <c r="E45" s="2076">
        <v>1</v>
      </c>
      <c r="F45" s="1281"/>
      <c r="G45" s="1281"/>
      <c r="H45" s="1281"/>
      <c r="I45" s="1281"/>
      <c r="J45" s="1281"/>
      <c r="K45" s="1281"/>
      <c r="L45" s="1282"/>
      <c r="M45" s="1283"/>
      <c r="N45" s="1283"/>
      <c r="O45" s="1283"/>
      <c r="P45" s="1327"/>
      <c r="Q45" s="786"/>
      <c r="R45" s="276"/>
      <c r="S45" s="1255">
        <f>INDEX(PT_DIFFERENTIATION_NUM_NTAR,MATCH(A45,PT_DIFFERENTIATION_NTAR_ID,0))</f>
        <v>0</v>
      </c>
      <c r="T45" s="212" t="s">
        <v>128</v>
      </c>
      <c r="U45" s="214"/>
      <c r="V45" s="2071"/>
      <c r="W45" s="2071"/>
      <c r="X45" s="2071"/>
      <c r="Y45" s="2071"/>
      <c r="Z45" s="2071"/>
      <c r="AA45" s="2072"/>
      <c r="AB45" s="2070" t="str">
        <f>INDEX(PT_DIFFERENTIATION_NTAR,MATCH(A45,PT_DIFFERENTIATION_NTAR_ID,0))</f>
        <v/>
      </c>
      <c r="AC45" s="2071"/>
      <c r="AD45" s="2071"/>
      <c r="AE45" s="2071"/>
      <c r="AF45" s="2071"/>
      <c r="AG45" s="2071"/>
      <c r="AH45" s="2071"/>
      <c r="AI45" s="2071"/>
      <c r="AJ45" s="2071"/>
      <c r="AK45" s="2071"/>
      <c r="AL45" s="2071"/>
      <c r="AM45" s="2071"/>
      <c r="AN45" s="2071"/>
      <c r="AO45" s="2071"/>
      <c r="AP45" s="2071"/>
      <c r="AQ45" s="2071"/>
      <c r="AR45" s="2071"/>
      <c r="AS45" s="2071"/>
      <c r="AT45" s="2072"/>
      <c r="AU45" s="1179"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г."&amp;"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
"&amp;"Указываются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"&amp;"цены (тарифа), источник официального опубликования решения об установлении цены (тарифа) в сфере теплоснабжения.","По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статьи"&amp;" 23 4 Федерального закона от 27 июля 2010 г. N 190-ФЗ ""О теплоснабжении"".
"&amp;"По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190-ФЗ"&amp;" Федерального закона ""О теплоснабжении"", теплоснабжающей организации, теплосетевой организации в ценовых зонах теплоснабжения.
"&amp;"В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индивидуальном"&amp;" порядке - в тыс.руб.; в отношении льготного размера платы за подключение - в руб.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
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 Федерального закона "О теплоснабжении", теплоснабжающей организации, теплосетевой организации в ценовых зонах теплоснабжения.
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 порядке - в тыс.руб.; в отношении льготного размера платы за подключение - в руб.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W45" s="426"/>
      <c r="AX45" s="426" t="str">
        <f t="shared" ref="AX45:AX51" si="2">IF(T45="","",T45)</f>
        <v>Наименование тарифа</v>
      </c>
      <c r="AY45" s="426"/>
      <c r="AZ45" s="426"/>
    </row>
    <row r="46" spans="1:52" ht="21" customHeight="1">
      <c r="A46" s="1281" t="s">
        <v>203</v>
      </c>
      <c r="B46" s="1281" t="s">
        <v>204</v>
      </c>
      <c r="C46" s="1281"/>
      <c r="D46" s="1281"/>
      <c r="E46" s="2077"/>
      <c r="F46" s="2076">
        <v>1</v>
      </c>
      <c r="G46" s="1281"/>
      <c r="H46" s="1281"/>
      <c r="I46" s="1281"/>
      <c r="J46" s="1281"/>
      <c r="K46" s="1281"/>
      <c r="L46" s="1282"/>
      <c r="M46" s="1283"/>
      <c r="N46" s="1283"/>
      <c r="O46" s="1283"/>
      <c r="P46" s="1328"/>
      <c r="Q46" s="1329"/>
      <c r="R46" s="274"/>
      <c r="S46" s="1255" t="str">
        <f>INDEX(PT_DIFFERENTIATION_NUM_TER,MATCH(B46,PT_DIFFERENTIATION_TER_ID,0))</f>
        <v>.</v>
      </c>
      <c r="T46" s="224" t="s">
        <v>460</v>
      </c>
      <c r="U46" s="214"/>
      <c r="V46" s="2071"/>
      <c r="W46" s="2071"/>
      <c r="X46" s="2071"/>
      <c r="Y46" s="2071"/>
      <c r="Z46" s="2071"/>
      <c r="AA46" s="2072"/>
      <c r="AB46" s="2070" t="str">
        <f>INDEX(PT_DIFFERENTIATION_TER,MATCH(B46,PT_DIFFERENTIATION_TER_ID,0))</f>
        <v/>
      </c>
      <c r="AC46" s="2071"/>
      <c r="AD46" s="2071"/>
      <c r="AE46" s="2071"/>
      <c r="AF46" s="2071"/>
      <c r="AG46" s="2071"/>
      <c r="AH46" s="2071"/>
      <c r="AI46" s="2071"/>
      <c r="AJ46" s="2071"/>
      <c r="AK46" s="2071"/>
      <c r="AL46" s="2071"/>
      <c r="AM46" s="2071"/>
      <c r="AN46" s="2071"/>
      <c r="AO46" s="2071"/>
      <c r="AP46" s="2071"/>
      <c r="AQ46" s="2071"/>
      <c r="AR46" s="2071"/>
      <c r="AS46" s="2071"/>
      <c r="AT46" s="2072"/>
      <c r="AU46" s="1179" t="s">
        <v>461</v>
      </c>
      <c r="AW46" s="426"/>
      <c r="AX46" s="426" t="str">
        <f t="shared" si="2"/>
        <v>Территория действия тарифа</v>
      </c>
      <c r="AY46" s="426"/>
      <c r="AZ46" s="426"/>
    </row>
    <row r="47" spans="1:52" ht="23.25" customHeight="1">
      <c r="A47" s="1281" t="s">
        <v>203</v>
      </c>
      <c r="B47" s="1281" t="s">
        <v>204</v>
      </c>
      <c r="C47" s="1281" t="s">
        <v>205</v>
      </c>
      <c r="D47" s="1281"/>
      <c r="E47" s="2077"/>
      <c r="F47" s="2077"/>
      <c r="G47" s="2076">
        <v>1</v>
      </c>
      <c r="H47" s="1281"/>
      <c r="I47" s="1281"/>
      <c r="J47" s="1281"/>
      <c r="K47" s="1281"/>
      <c r="L47" s="1282"/>
      <c r="M47" s="1283"/>
      <c r="N47" s="1283"/>
      <c r="O47" s="1283"/>
      <c r="P47" s="1330"/>
      <c r="Q47" s="1329"/>
      <c r="R47" s="274"/>
      <c r="S47" s="1255" t="str">
        <f>INDEX(PT_DIFFERENTIATION_NUM_CS,MATCH(C47,PT_DIFFERENTIATION_CS_ID,0))</f>
        <v>..</v>
      </c>
      <c r="T47" s="225" t="s">
        <v>462</v>
      </c>
      <c r="U47" s="214"/>
      <c r="V47" s="2071"/>
      <c r="W47" s="2071"/>
      <c r="X47" s="2071"/>
      <c r="Y47" s="2071"/>
      <c r="Z47" s="2071"/>
      <c r="AA47" s="2072"/>
      <c r="AB47" s="2070" t="str">
        <f>INDEX(PT_DIFFERENTIATION_CS,MATCH(C47,PT_DIFFERENTIATION_CS_ID,0))</f>
        <v/>
      </c>
      <c r="AC47" s="2071"/>
      <c r="AD47" s="2071"/>
      <c r="AE47" s="2071"/>
      <c r="AF47" s="2071"/>
      <c r="AG47" s="2071"/>
      <c r="AH47" s="2071"/>
      <c r="AI47" s="2071"/>
      <c r="AJ47" s="2071"/>
      <c r="AK47" s="2071"/>
      <c r="AL47" s="2071"/>
      <c r="AM47" s="2071"/>
      <c r="AN47" s="2071"/>
      <c r="AO47" s="2071"/>
      <c r="AP47" s="2071"/>
      <c r="AQ47" s="2071"/>
      <c r="AR47" s="2071"/>
      <c r="AS47" s="2071"/>
      <c r="AT47" s="2072"/>
      <c r="AU47" s="1179" t="s">
        <v>463</v>
      </c>
      <c r="AW47" s="426"/>
      <c r="AX47" s="426" t="str">
        <f t="shared" si="2"/>
        <v xml:space="preserve">Наименование системы теплоснабжения </v>
      </c>
      <c r="AY47" s="426"/>
      <c r="AZ47" s="426"/>
    </row>
    <row r="48" spans="1:52" ht="21" customHeight="1">
      <c r="A48" s="1281" t="s">
        <v>203</v>
      </c>
      <c r="B48" s="1281" t="s">
        <v>204</v>
      </c>
      <c r="C48" s="1281" t="s">
        <v>205</v>
      </c>
      <c r="D48" s="1281" t="s">
        <v>206</v>
      </c>
      <c r="E48" s="2077"/>
      <c r="F48" s="2077"/>
      <c r="G48" s="2077"/>
      <c r="H48" s="2076">
        <v>1</v>
      </c>
      <c r="I48" s="1281"/>
      <c r="J48" s="1281"/>
      <c r="K48" s="1281"/>
      <c r="L48" s="1282"/>
      <c r="M48" s="1283"/>
      <c r="N48" s="1283"/>
      <c r="O48" s="1283"/>
      <c r="P48" s="1330"/>
      <c r="Q48" s="1329"/>
      <c r="R48" s="274"/>
      <c r="S48" s="1255" t="str">
        <f>INDEX(PT_DIFFERENTIATION_NUM_IST_TE,MATCH(D48,PT_DIFFERENTIATION_IST_TE_ID,0))</f>
        <v>...</v>
      </c>
      <c r="T48" s="226" t="s">
        <v>464</v>
      </c>
      <c r="U48" s="214"/>
      <c r="V48" s="2071"/>
      <c r="W48" s="2071"/>
      <c r="X48" s="2071"/>
      <c r="Y48" s="2071"/>
      <c r="Z48" s="2071"/>
      <c r="AA48" s="2072"/>
      <c r="AB48" s="2070" t="str">
        <f>INDEX(PT_DIFFERENTIATION_IST_TE,MATCH(D48,PT_DIFFERENTIATION_IST_TE_ID,0))</f>
        <v/>
      </c>
      <c r="AC48" s="2071"/>
      <c r="AD48" s="2071"/>
      <c r="AE48" s="2071"/>
      <c r="AF48" s="2071"/>
      <c r="AG48" s="2071"/>
      <c r="AH48" s="2071"/>
      <c r="AI48" s="2071"/>
      <c r="AJ48" s="2071"/>
      <c r="AK48" s="2071"/>
      <c r="AL48" s="2071"/>
      <c r="AM48" s="2071"/>
      <c r="AN48" s="2071"/>
      <c r="AO48" s="2071"/>
      <c r="AP48" s="2071"/>
      <c r="AQ48" s="2071"/>
      <c r="AR48" s="2071"/>
      <c r="AS48" s="2071"/>
      <c r="AT48" s="2072"/>
      <c r="AU48" s="1179" t="s">
        <v>465</v>
      </c>
      <c r="AW48" s="426"/>
      <c r="AX48" s="426" t="str">
        <f t="shared" si="2"/>
        <v xml:space="preserve">Источник тепловой энергии  </v>
      </c>
      <c r="AY48" s="426"/>
      <c r="AZ48" s="426"/>
    </row>
    <row r="49" spans="1:52" s="1559" customFormat="1" ht="0" hidden="1" customHeight="1">
      <c r="A49" s="1262" t="s">
        <v>203</v>
      </c>
      <c r="B49" s="1262" t="s">
        <v>204</v>
      </c>
      <c r="C49" s="1262" t="s">
        <v>205</v>
      </c>
      <c r="D49" s="1262" t="s">
        <v>206</v>
      </c>
      <c r="E49" s="2077"/>
      <c r="F49" s="2077"/>
      <c r="G49" s="2077"/>
      <c r="H49" s="2077"/>
      <c r="I49" s="2078" t="str">
        <f>S48&amp;".1"</f>
        <v>....1</v>
      </c>
      <c r="J49" s="1262"/>
      <c r="K49" s="1262"/>
      <c r="L49" s="1265" t="s">
        <v>466</v>
      </c>
      <c r="M49" s="436"/>
      <c r="N49" s="436"/>
      <c r="O49" s="436"/>
      <c r="P49" s="1995">
        <v>1</v>
      </c>
      <c r="Q49" s="1250"/>
      <c r="R49" s="277"/>
      <c r="S49" s="950"/>
      <c r="T49" s="1301"/>
      <c r="U49" s="1302"/>
      <c r="V49" s="2106"/>
      <c r="W49" s="2106"/>
      <c r="X49" s="2106"/>
      <c r="Y49" s="2106"/>
      <c r="Z49" s="2106"/>
      <c r="AA49" s="2107"/>
      <c r="AB49" s="2105"/>
      <c r="AC49" s="2106"/>
      <c r="AD49" s="2106"/>
      <c r="AE49" s="2106"/>
      <c r="AF49" s="2106"/>
      <c r="AG49" s="2106"/>
      <c r="AH49" s="2106"/>
      <c r="AI49" s="2106"/>
      <c r="AJ49" s="2106"/>
      <c r="AK49" s="2106"/>
      <c r="AL49" s="2106"/>
      <c r="AM49" s="2106"/>
      <c r="AN49" s="2106"/>
      <c r="AO49" s="2106"/>
      <c r="AP49" s="2106"/>
      <c r="AQ49" s="2106"/>
      <c r="AR49" s="2106"/>
      <c r="AS49" s="2106"/>
      <c r="AT49" s="2107"/>
      <c r="AU49" s="1303"/>
      <c r="AW49" s="426"/>
      <c r="AX49" s="426" t="str">
        <f t="shared" si="2"/>
        <v/>
      </c>
      <c r="AY49" s="426"/>
      <c r="AZ49" s="426"/>
    </row>
    <row r="50" spans="1:52" s="1559" customFormat="1" ht="0" hidden="1" customHeight="1">
      <c r="A50" s="1262" t="s">
        <v>203</v>
      </c>
      <c r="B50" s="1262" t="s">
        <v>204</v>
      </c>
      <c r="C50" s="1262" t="s">
        <v>205</v>
      </c>
      <c r="D50" s="1262" t="s">
        <v>206</v>
      </c>
      <c r="E50" s="2077"/>
      <c r="F50" s="2077"/>
      <c r="G50" s="2077"/>
      <c r="H50" s="2077"/>
      <c r="I50" s="2079"/>
      <c r="J50" s="2078" t="str">
        <f>S48&amp;".1"</f>
        <v>....1</v>
      </c>
      <c r="K50" s="1262"/>
      <c r="L50" s="1265"/>
      <c r="M50" s="436"/>
      <c r="N50" s="436"/>
      <c r="O50" s="436"/>
      <c r="P50" s="1995"/>
      <c r="Q50" s="1995">
        <v>1</v>
      </c>
      <c r="R50" s="278"/>
      <c r="S50" s="950"/>
      <c r="T50" s="1317"/>
      <c r="U50" s="1302"/>
      <c r="V50" s="2106"/>
      <c r="W50" s="2106"/>
      <c r="X50" s="2106"/>
      <c r="Y50" s="2106"/>
      <c r="Z50" s="2106"/>
      <c r="AA50" s="2107"/>
      <c r="AB50" s="2105"/>
      <c r="AC50" s="2106"/>
      <c r="AD50" s="2106"/>
      <c r="AE50" s="2106"/>
      <c r="AF50" s="2106"/>
      <c r="AG50" s="2106"/>
      <c r="AH50" s="2106"/>
      <c r="AI50" s="2106"/>
      <c r="AJ50" s="2106"/>
      <c r="AK50" s="2106"/>
      <c r="AL50" s="2106"/>
      <c r="AM50" s="2106"/>
      <c r="AN50" s="2106"/>
      <c r="AO50" s="2106"/>
      <c r="AP50" s="2106"/>
      <c r="AQ50" s="2106"/>
      <c r="AR50" s="2106"/>
      <c r="AS50" s="2106"/>
      <c r="AT50" s="2107"/>
      <c r="AU50" s="1303"/>
      <c r="AW50" s="426"/>
      <c r="AX50" s="426" t="str">
        <f t="shared" si="2"/>
        <v/>
      </c>
      <c r="AY50" s="426"/>
      <c r="AZ50" s="426"/>
    </row>
    <row r="51" spans="1:52" ht="21" customHeight="1">
      <c r="A51" s="1281" t="s">
        <v>203</v>
      </c>
      <c r="B51" s="1281" t="s">
        <v>204</v>
      </c>
      <c r="C51" s="1281" t="s">
        <v>205</v>
      </c>
      <c r="D51" s="1281" t="s">
        <v>206</v>
      </c>
      <c r="E51" s="2077"/>
      <c r="F51" s="2077"/>
      <c r="G51" s="2077"/>
      <c r="H51" s="2077"/>
      <c r="I51" s="2079"/>
      <c r="J51" s="2079"/>
      <c r="K51" s="2078" t="str">
        <f>S48&amp;".1"</f>
        <v>....1</v>
      </c>
      <c r="L51" s="1282"/>
      <c r="P51" s="1995"/>
      <c r="Q51" s="1995"/>
      <c r="R51" s="278">
        <v>1</v>
      </c>
      <c r="S51" s="2126" t="str">
        <f>$K51</f>
        <v>....1</v>
      </c>
      <c r="T51" s="2123"/>
      <c r="U51" s="214"/>
      <c r="V51" s="664"/>
      <c r="W51" s="1178"/>
      <c r="X51" s="1650"/>
      <c r="Y51" s="1374" t="s">
        <v>59</v>
      </c>
      <c r="Z51" s="1650"/>
      <c r="AA51" s="1374" t="s">
        <v>59</v>
      </c>
      <c r="AB51" s="1885" t="s">
        <v>57</v>
      </c>
      <c r="AC51" s="2122"/>
      <c r="AD51" s="1954">
        <v>1</v>
      </c>
      <c r="AE51" s="2114" t="s">
        <v>18</v>
      </c>
      <c r="AF51" s="1885" t="s">
        <v>57</v>
      </c>
      <c r="AG51" s="2122"/>
      <c r="AH51" s="1954">
        <v>1</v>
      </c>
      <c r="AI51" s="2114" t="s">
        <v>18</v>
      </c>
      <c r="AJ51" s="1885" t="s">
        <v>57</v>
      </c>
      <c r="AK51" s="227"/>
      <c r="AL51" s="1256">
        <v>1</v>
      </c>
      <c r="AM51" s="1320"/>
      <c r="AN51" s="664"/>
      <c r="AO51" s="1178"/>
      <c r="AP51" s="1650"/>
      <c r="AQ51" s="1374" t="s">
        <v>59</v>
      </c>
      <c r="AR51" s="1650"/>
      <c r="AS51" s="1374" t="s">
        <v>59</v>
      </c>
      <c r="AT51" s="1267"/>
      <c r="AU51" s="2098" t="s">
        <v>553</v>
      </c>
      <c r="AV51" s="437" t="e">
        <f ca="1">STRCHECKDATE(V54:AT54)</f>
        <v>#NAME?</v>
      </c>
      <c r="AW51" s="426"/>
      <c r="AX51" s="426" t="str">
        <f t="shared" si="2"/>
        <v/>
      </c>
      <c r="AY51" s="426"/>
      <c r="AZ51" s="426"/>
    </row>
    <row r="52" spans="1:52" ht="11.25" customHeight="1">
      <c r="A52" s="1281" t="s">
        <v>203</v>
      </c>
      <c r="B52" s="1281"/>
      <c r="C52" s="1281"/>
      <c r="D52" s="1281"/>
      <c r="E52" s="2077"/>
      <c r="F52" s="2077"/>
      <c r="G52" s="2077"/>
      <c r="H52" s="2077"/>
      <c r="I52" s="2079"/>
      <c r="J52" s="2079"/>
      <c r="K52" s="2078"/>
      <c r="L52" s="1282"/>
      <c r="P52" s="1995"/>
      <c r="Q52" s="1995"/>
      <c r="R52" s="278"/>
      <c r="S52" s="2127"/>
      <c r="T52" s="2124"/>
      <c r="U52" s="214"/>
      <c r="V52" s="1311"/>
      <c r="W52" s="1408"/>
      <c r="X52" s="1311"/>
      <c r="Y52" s="1311"/>
      <c r="Z52" s="1311"/>
      <c r="AA52" s="1311"/>
      <c r="AB52" s="1885"/>
      <c r="AC52" s="2122"/>
      <c r="AD52" s="1954"/>
      <c r="AE52" s="2114"/>
      <c r="AF52" s="1885"/>
      <c r="AG52" s="2122"/>
      <c r="AH52" s="1954"/>
      <c r="AI52" s="2114"/>
      <c r="AJ52" s="1885"/>
      <c r="AK52" s="234"/>
      <c r="AL52" s="346"/>
      <c r="AM52" s="345" t="s">
        <v>537</v>
      </c>
      <c r="AN52" s="1311"/>
      <c r="AO52" s="1408"/>
      <c r="AP52" s="1311"/>
      <c r="AQ52" s="1311"/>
      <c r="AR52" s="1311"/>
      <c r="AS52" s="1311"/>
      <c r="AT52" s="1308"/>
      <c r="AU52" s="2099"/>
      <c r="AW52" s="426"/>
      <c r="AX52" s="426"/>
      <c r="AY52" s="426"/>
      <c r="AZ52" s="426"/>
    </row>
    <row r="53" spans="1:52" ht="11.25" customHeight="1">
      <c r="A53" s="1281" t="s">
        <v>203</v>
      </c>
      <c r="B53" s="1281"/>
      <c r="C53" s="1281"/>
      <c r="D53" s="1281"/>
      <c r="E53" s="2077"/>
      <c r="F53" s="2077"/>
      <c r="G53" s="2077"/>
      <c r="H53" s="2077"/>
      <c r="I53" s="2079"/>
      <c r="J53" s="2079"/>
      <c r="K53" s="2078"/>
      <c r="L53" s="1282"/>
      <c r="P53" s="1995"/>
      <c r="Q53" s="1995"/>
      <c r="R53" s="278"/>
      <c r="S53" s="2127"/>
      <c r="T53" s="2124"/>
      <c r="U53" s="214"/>
      <c r="V53" s="1311"/>
      <c r="W53" s="1408"/>
      <c r="X53" s="1311"/>
      <c r="Y53" s="1311"/>
      <c r="Z53" s="1311"/>
      <c r="AA53" s="1311"/>
      <c r="AB53" s="1885"/>
      <c r="AC53" s="2122"/>
      <c r="AD53" s="1954"/>
      <c r="AE53" s="2114"/>
      <c r="AF53" s="1885"/>
      <c r="AG53" s="208"/>
      <c r="AH53" s="345"/>
      <c r="AI53" s="345" t="s">
        <v>538</v>
      </c>
      <c r="AJ53" s="1311"/>
      <c r="AK53" s="1311"/>
      <c r="AL53" s="1311"/>
      <c r="AM53" s="1311"/>
      <c r="AN53" s="1311"/>
      <c r="AO53" s="1408"/>
      <c r="AP53" s="1311"/>
      <c r="AQ53" s="1311"/>
      <c r="AR53" s="1311"/>
      <c r="AS53" s="1311"/>
      <c r="AT53" s="1308"/>
      <c r="AU53" s="2099"/>
      <c r="AW53" s="426"/>
      <c r="AX53" s="426"/>
      <c r="AY53" s="426"/>
      <c r="AZ53" s="426"/>
    </row>
    <row r="54" spans="1:52" ht="11.25" customHeight="1">
      <c r="A54" s="1281" t="s">
        <v>203</v>
      </c>
      <c r="B54" s="1281" t="s">
        <v>204</v>
      </c>
      <c r="C54" s="1281" t="s">
        <v>205</v>
      </c>
      <c r="D54" s="1281" t="s">
        <v>206</v>
      </c>
      <c r="E54" s="2077"/>
      <c r="F54" s="2077"/>
      <c r="G54" s="2077"/>
      <c r="H54" s="2077"/>
      <c r="I54" s="2079"/>
      <c r="J54" s="2079"/>
      <c r="K54" s="2078"/>
      <c r="L54" s="1282"/>
      <c r="P54" s="1995"/>
      <c r="Q54" s="1995"/>
      <c r="R54" s="278"/>
      <c r="S54" s="2128"/>
      <c r="T54" s="2125"/>
      <c r="U54" s="214"/>
      <c r="V54" s="1311"/>
      <c r="W54" s="1312" t="str">
        <f>X51&amp;"-"&amp;Z51</f>
        <v>-</v>
      </c>
      <c r="X54" s="1311"/>
      <c r="Y54" s="1311"/>
      <c r="Z54" s="1311"/>
      <c r="AA54" s="1311"/>
      <c r="AB54" s="1885"/>
      <c r="AC54" s="228"/>
      <c r="AD54" s="230"/>
      <c r="AE54" s="345" t="s">
        <v>539</v>
      </c>
      <c r="AF54" s="1311"/>
      <c r="AG54" s="1311"/>
      <c r="AH54" s="1311"/>
      <c r="AI54" s="1311"/>
      <c r="AJ54" s="1311"/>
      <c r="AK54" s="1311"/>
      <c r="AL54" s="1311"/>
      <c r="AM54" s="1311"/>
      <c r="AN54" s="1311"/>
      <c r="AO54" s="1312" t="str">
        <f>AP51&amp;"-"&amp;AR51</f>
        <v>-</v>
      </c>
      <c r="AP54" s="1311"/>
      <c r="AQ54" s="1311"/>
      <c r="AR54" s="1311"/>
      <c r="AS54" s="1311"/>
      <c r="AT54" s="1268"/>
      <c r="AU54" s="2099"/>
      <c r="AW54" s="426"/>
      <c r="AX54" s="426" t="str">
        <f t="shared" ref="AX54:AX62" si="3">IF(T54="","",T54)</f>
        <v/>
      </c>
      <c r="AY54" s="426"/>
      <c r="AZ54" s="426"/>
    </row>
    <row r="55" spans="1:52" ht="11.25" customHeight="1">
      <c r="A55" s="1281" t="s">
        <v>203</v>
      </c>
      <c r="B55" s="1281" t="s">
        <v>204</v>
      </c>
      <c r="C55" s="1281" t="s">
        <v>205</v>
      </c>
      <c r="D55" s="1281" t="s">
        <v>206</v>
      </c>
      <c r="E55" s="2077"/>
      <c r="F55" s="2077"/>
      <c r="G55" s="2077"/>
      <c r="H55" s="2077"/>
      <c r="I55" s="2079"/>
      <c r="J55" s="2078"/>
      <c r="K55" s="1281"/>
      <c r="L55" s="1282"/>
      <c r="P55" s="1995"/>
      <c r="Q55" s="1995"/>
      <c r="R55" s="277"/>
      <c r="S55" s="1200"/>
      <c r="T55" s="202" t="s">
        <v>540</v>
      </c>
      <c r="U55" s="291"/>
      <c r="V55" s="291"/>
      <c r="W55" s="291"/>
      <c r="X55" s="291"/>
      <c r="Y55" s="291"/>
      <c r="Z55" s="291"/>
      <c r="AA55" s="245"/>
      <c r="AB55" s="1417"/>
      <c r="AC55" s="291"/>
      <c r="AD55" s="291"/>
      <c r="AE55" s="291"/>
      <c r="AF55" s="291"/>
      <c r="AG55" s="291"/>
      <c r="AH55" s="291"/>
      <c r="AI55" s="291"/>
      <c r="AJ55" s="291"/>
      <c r="AK55" s="291"/>
      <c r="AL55" s="291"/>
      <c r="AM55" s="291"/>
      <c r="AN55" s="291"/>
      <c r="AO55" s="291"/>
      <c r="AP55" s="291"/>
      <c r="AQ55" s="291"/>
      <c r="AR55" s="291"/>
      <c r="AS55" s="291"/>
      <c r="AT55" s="245"/>
      <c r="AU55" s="2100"/>
      <c r="AW55" s="426"/>
      <c r="AX55" s="426" t="str">
        <f t="shared" si="3"/>
        <v>Добавить строку</v>
      </c>
      <c r="AY55" s="426"/>
      <c r="AZ55" s="426"/>
    </row>
    <row r="56" spans="1:52" s="1559" customFormat="1" ht="0" hidden="1" customHeight="1">
      <c r="A56" s="1262" t="s">
        <v>203</v>
      </c>
      <c r="B56" s="1262" t="s">
        <v>204</v>
      </c>
      <c r="C56" s="1262" t="s">
        <v>205</v>
      </c>
      <c r="D56" s="1262" t="s">
        <v>206</v>
      </c>
      <c r="E56" s="2077"/>
      <c r="F56" s="2077"/>
      <c r="G56" s="2077"/>
      <c r="H56" s="2077"/>
      <c r="I56" s="2078"/>
      <c r="J56" s="1262"/>
      <c r="K56" s="1262"/>
      <c r="L56" s="1265"/>
      <c r="M56" s="436"/>
      <c r="N56" s="436"/>
      <c r="O56" s="436"/>
      <c r="P56" s="1995"/>
      <c r="Q56" s="1250"/>
      <c r="R56" s="277"/>
      <c r="S56" s="1304"/>
      <c r="T56" s="1305" t="s">
        <v>475</v>
      </c>
      <c r="U56" s="1306"/>
      <c r="V56" s="1306"/>
      <c r="W56" s="1306"/>
      <c r="X56" s="1306"/>
      <c r="Y56" s="1306"/>
      <c r="Z56" s="1306"/>
      <c r="AA56" s="1306"/>
      <c r="AB56" s="1306"/>
      <c r="AC56" s="1306"/>
      <c r="AD56" s="1306"/>
      <c r="AE56" s="1306"/>
      <c r="AF56" s="1306"/>
      <c r="AG56" s="1306"/>
      <c r="AH56" s="1306"/>
      <c r="AI56" s="1306"/>
      <c r="AJ56" s="1306"/>
      <c r="AK56" s="1306"/>
      <c r="AL56" s="1306"/>
      <c r="AM56" s="1306"/>
      <c r="AN56" s="1306"/>
      <c r="AO56" s="1306"/>
      <c r="AP56" s="1306"/>
      <c r="AQ56" s="1306"/>
      <c r="AR56" s="1306"/>
      <c r="AS56" s="1306"/>
      <c r="AT56" s="1306"/>
      <c r="AU56" s="1307"/>
      <c r="AW56" s="426"/>
      <c r="AX56" s="426" t="str">
        <f t="shared" si="3"/>
        <v>Добавить группу потребителей</v>
      </c>
      <c r="AY56" s="426"/>
      <c r="AZ56" s="426"/>
    </row>
    <row r="57" spans="1:52" s="1558" customFormat="1" ht="0" hidden="1" customHeight="1">
      <c r="A57" s="1262" t="s">
        <v>203</v>
      </c>
      <c r="B57" s="1262" t="s">
        <v>204</v>
      </c>
      <c r="C57" s="1262" t="s">
        <v>205</v>
      </c>
      <c r="D57" s="1262" t="s">
        <v>206</v>
      </c>
      <c r="E57" s="2077"/>
      <c r="F57" s="2077"/>
      <c r="G57" s="2077"/>
      <c r="H57" s="2076"/>
      <c r="I57" s="1262"/>
      <c r="J57" s="1262"/>
      <c r="K57" s="1262"/>
      <c r="L57" s="1265"/>
      <c r="M57" s="1235"/>
      <c r="N57" s="1235"/>
      <c r="O57" s="444"/>
      <c r="P57" s="308"/>
      <c r="Q57" s="1263"/>
      <c r="R57" s="1318"/>
      <c r="S57" s="1304"/>
      <c r="T57" s="1305"/>
      <c r="U57" s="1306"/>
      <c r="V57" s="1306"/>
      <c r="W57" s="1306"/>
      <c r="X57" s="1306"/>
      <c r="Y57" s="1306"/>
      <c r="Z57" s="1306"/>
      <c r="AA57" s="1306"/>
      <c r="AB57" s="1306"/>
      <c r="AC57" s="1306"/>
      <c r="AD57" s="1306"/>
      <c r="AE57" s="1306"/>
      <c r="AF57" s="1306"/>
      <c r="AG57" s="1306"/>
      <c r="AH57" s="1306"/>
      <c r="AI57" s="1306"/>
      <c r="AJ57" s="1306"/>
      <c r="AK57" s="1306"/>
      <c r="AL57" s="1306"/>
      <c r="AM57" s="1306"/>
      <c r="AN57" s="1306"/>
      <c r="AO57" s="1306"/>
      <c r="AP57" s="1306"/>
      <c r="AQ57" s="1306"/>
      <c r="AR57" s="1306"/>
      <c r="AS57" s="1306"/>
      <c r="AT57" s="1306"/>
      <c r="AU57" s="1307"/>
      <c r="AV57" s="437"/>
      <c r="AW57" s="426"/>
      <c r="AX57" s="426" t="str">
        <f t="shared" si="3"/>
        <v/>
      </c>
      <c r="AY57" s="426"/>
      <c r="AZ57" s="426"/>
    </row>
    <row r="58" spans="1:52" s="1559" customFormat="1" ht="0" hidden="1" customHeight="1">
      <c r="A58" s="1262" t="s">
        <v>203</v>
      </c>
      <c r="B58" s="1262" t="s">
        <v>204</v>
      </c>
      <c r="C58" s="1262" t="s">
        <v>205</v>
      </c>
      <c r="D58" s="1234"/>
      <c r="E58" s="2077"/>
      <c r="F58" s="2077"/>
      <c r="G58" s="2076"/>
      <c r="H58" s="1234"/>
      <c r="I58" s="1234"/>
      <c r="J58" s="1234"/>
      <c r="K58" s="1234"/>
      <c r="L58" s="1258"/>
      <c r="M58" s="1235"/>
      <c r="N58" s="1235"/>
      <c r="P58" s="1236"/>
      <c r="Q58" s="1237"/>
      <c r="R58" s="1236"/>
      <c r="S58" s="1242"/>
      <c r="T58" s="1245" t="s">
        <v>433</v>
      </c>
      <c r="U58" s="1244"/>
      <c r="V58" s="1244"/>
      <c r="W58" s="1244"/>
      <c r="X58" s="1244"/>
      <c r="Y58" s="1244"/>
      <c r="Z58" s="1244"/>
      <c r="AA58" s="1244"/>
      <c r="AB58" s="1244"/>
      <c r="AC58" s="1244"/>
      <c r="AD58" s="1244"/>
      <c r="AE58" s="1244"/>
      <c r="AF58" s="1244"/>
      <c r="AG58" s="1244"/>
      <c r="AH58" s="1244"/>
      <c r="AI58" s="1244"/>
      <c r="AJ58" s="1244"/>
      <c r="AK58" s="1244"/>
      <c r="AL58" s="1244"/>
      <c r="AM58" s="1244"/>
      <c r="AN58" s="1244"/>
      <c r="AO58" s="1244"/>
      <c r="AP58" s="1244"/>
      <c r="AQ58" s="1244"/>
      <c r="AR58" s="1244"/>
      <c r="AS58" s="1244"/>
      <c r="AT58" s="1244"/>
      <c r="AU58" s="1244"/>
      <c r="AW58" s="702"/>
      <c r="AX58" s="702" t="str">
        <f t="shared" si="3"/>
        <v>Добавить источник для дифференциации</v>
      </c>
      <c r="AY58" s="702"/>
      <c r="AZ58" s="702"/>
    </row>
    <row r="59" spans="1:52" s="1559" customFormat="1" ht="0" hidden="1" customHeight="1">
      <c r="A59" s="1262" t="s">
        <v>203</v>
      </c>
      <c r="B59" s="1262" t="s">
        <v>204</v>
      </c>
      <c r="C59" s="1234"/>
      <c r="D59" s="1234"/>
      <c r="E59" s="2077"/>
      <c r="F59" s="2076"/>
      <c r="G59" s="1234"/>
      <c r="H59" s="1234"/>
      <c r="I59" s="1234"/>
      <c r="J59" s="1234"/>
      <c r="K59" s="1234"/>
      <c r="L59" s="1258"/>
      <c r="M59" s="1241"/>
      <c r="N59" s="1241"/>
      <c r="P59" s="1236"/>
      <c r="Q59" s="1237"/>
      <c r="R59" s="1236"/>
      <c r="S59" s="1242"/>
      <c r="T59" s="1245" t="s">
        <v>434</v>
      </c>
      <c r="U59" s="1244"/>
      <c r="V59" s="1244"/>
      <c r="W59" s="1244"/>
      <c r="X59" s="1244"/>
      <c r="Y59" s="1244"/>
      <c r="Z59" s="1244"/>
      <c r="AA59" s="1244"/>
      <c r="AB59" s="1244"/>
      <c r="AC59" s="1244"/>
      <c r="AD59" s="1244"/>
      <c r="AE59" s="1244"/>
      <c r="AF59" s="1244"/>
      <c r="AG59" s="1244"/>
      <c r="AH59" s="1244"/>
      <c r="AI59" s="1244"/>
      <c r="AJ59" s="1244"/>
      <c r="AK59" s="1244"/>
      <c r="AL59" s="1244"/>
      <c r="AM59" s="1244"/>
      <c r="AN59" s="1244"/>
      <c r="AO59" s="1244"/>
      <c r="AP59" s="1244"/>
      <c r="AQ59" s="1244"/>
      <c r="AR59" s="1244"/>
      <c r="AS59" s="1244"/>
      <c r="AT59" s="1244"/>
      <c r="AU59" s="1244"/>
      <c r="AW59" s="702"/>
      <c r="AX59" s="702" t="str">
        <f t="shared" si="3"/>
        <v>Добавить централизованную систему для дифференциации</v>
      </c>
      <c r="AY59" s="702"/>
      <c r="AZ59" s="702"/>
    </row>
    <row r="60" spans="1:52" s="1559" customFormat="1" ht="0" hidden="1" customHeight="1">
      <c r="A60" s="1262" t="s">
        <v>203</v>
      </c>
      <c r="B60" s="1262"/>
      <c r="C60" s="1262"/>
      <c r="D60" s="1262"/>
      <c r="E60" s="2077"/>
      <c r="F60" s="1262"/>
      <c r="G60" s="1262"/>
      <c r="H60" s="1262"/>
      <c r="I60" s="1262"/>
      <c r="J60" s="1262"/>
      <c r="K60" s="1262"/>
      <c r="L60" s="1265"/>
      <c r="M60" s="1241"/>
      <c r="N60" s="1241"/>
      <c r="O60" s="444"/>
      <c r="P60" s="308"/>
      <c r="Q60" s="1263"/>
      <c r="R60" s="308"/>
      <c r="S60" s="1242"/>
      <c r="T60" s="1245" t="s">
        <v>435</v>
      </c>
      <c r="U60" s="1244"/>
      <c r="V60" s="1244"/>
      <c r="W60" s="1244"/>
      <c r="X60" s="1244"/>
      <c r="Y60" s="1244"/>
      <c r="Z60" s="1244"/>
      <c r="AA60" s="1244"/>
      <c r="AB60" s="1244"/>
      <c r="AC60" s="1244"/>
      <c r="AD60" s="1244"/>
      <c r="AE60" s="1244"/>
      <c r="AF60" s="1244"/>
      <c r="AG60" s="1244"/>
      <c r="AH60" s="1244"/>
      <c r="AI60" s="1244"/>
      <c r="AJ60" s="1244"/>
      <c r="AK60" s="1244"/>
      <c r="AL60" s="1244"/>
      <c r="AM60" s="1244"/>
      <c r="AN60" s="1244"/>
      <c r="AO60" s="1244"/>
      <c r="AP60" s="1244"/>
      <c r="AQ60" s="1244"/>
      <c r="AR60" s="1244"/>
      <c r="AS60" s="1244"/>
      <c r="AT60" s="1244"/>
      <c r="AU60" s="1244"/>
      <c r="AW60" s="426"/>
      <c r="AX60" s="426" t="str">
        <f t="shared" si="3"/>
        <v>Добавить территорию для дифференциации</v>
      </c>
      <c r="AY60" s="426"/>
      <c r="AZ60" s="426"/>
    </row>
    <row r="61" spans="1:52" s="1559" customFormat="1" ht="0" hidden="1" customHeight="1">
      <c r="A61" s="1262" t="s">
        <v>203</v>
      </c>
      <c r="B61" s="1262"/>
      <c r="C61" s="1262"/>
      <c r="D61" s="1262"/>
      <c r="E61" s="2076"/>
      <c r="F61" s="1262"/>
      <c r="G61" s="1262"/>
      <c r="H61" s="1262"/>
      <c r="I61" s="1262"/>
      <c r="J61" s="1262"/>
      <c r="K61" s="1262"/>
      <c r="L61" s="1265"/>
      <c r="M61" s="1241"/>
      <c r="N61" s="1241"/>
      <c r="O61" s="444"/>
      <c r="P61" s="308"/>
      <c r="Q61" s="1263"/>
      <c r="R61" s="308"/>
      <c r="S61" s="1242"/>
      <c r="T61" s="1245" t="s">
        <v>435</v>
      </c>
      <c r="U61" s="1244"/>
      <c r="V61" s="1244"/>
      <c r="W61" s="1244"/>
      <c r="X61" s="1244"/>
      <c r="Y61" s="1244"/>
      <c r="Z61" s="1244"/>
      <c r="AA61" s="1244"/>
      <c r="AB61" s="1244"/>
      <c r="AC61" s="1244"/>
      <c r="AD61" s="1244"/>
      <c r="AE61" s="1244"/>
      <c r="AF61" s="1244"/>
      <c r="AG61" s="1244"/>
      <c r="AH61" s="1244"/>
      <c r="AI61" s="1244"/>
      <c r="AJ61" s="1244"/>
      <c r="AK61" s="1244"/>
      <c r="AL61" s="1244"/>
      <c r="AM61" s="1244"/>
      <c r="AN61" s="1244"/>
      <c r="AO61" s="1244"/>
      <c r="AP61" s="1244"/>
      <c r="AQ61" s="1244"/>
      <c r="AR61" s="1244"/>
      <c r="AS61" s="1244"/>
      <c r="AT61" s="1244"/>
      <c r="AU61" s="1244"/>
      <c r="AW61" s="426"/>
      <c r="AX61" s="426" t="str">
        <f t="shared" si="3"/>
        <v>Добавить территорию для дифференциации</v>
      </c>
      <c r="AY61" s="426"/>
      <c r="AZ61" s="426"/>
    </row>
    <row r="62" spans="1:52" s="1559" customFormat="1" ht="0" hidden="1" customHeight="1">
      <c r="A62" s="1234"/>
      <c r="B62" s="1234"/>
      <c r="C62" s="1234"/>
      <c r="D62" s="1234"/>
      <c r="E62" s="1262"/>
      <c r="F62" s="1234"/>
      <c r="G62" s="1234"/>
      <c r="H62" s="1234"/>
      <c r="I62" s="1234"/>
      <c r="J62" s="1234"/>
      <c r="K62" s="1234"/>
      <c r="L62" s="1258"/>
      <c r="M62" s="1241"/>
      <c r="N62" s="1241"/>
      <c r="P62" s="1236"/>
      <c r="Q62" s="1237"/>
      <c r="R62" s="1236"/>
      <c r="S62" s="1242"/>
      <c r="T62" s="1245" t="s">
        <v>436</v>
      </c>
      <c r="U62" s="1244"/>
      <c r="V62" s="1244"/>
      <c r="W62" s="1244"/>
      <c r="X62" s="1244"/>
      <c r="Y62" s="1244"/>
      <c r="Z62" s="1244"/>
      <c r="AA62" s="1244"/>
      <c r="AB62" s="1244"/>
      <c r="AC62" s="1244"/>
      <c r="AD62" s="1244"/>
      <c r="AE62" s="1244"/>
      <c r="AF62" s="1244"/>
      <c r="AG62" s="1244"/>
      <c r="AH62" s="1244"/>
      <c r="AI62" s="1244"/>
      <c r="AJ62" s="1244"/>
      <c r="AK62" s="1244"/>
      <c r="AL62" s="1244"/>
      <c r="AM62" s="1244"/>
      <c r="AN62" s="1244"/>
      <c r="AO62" s="1244"/>
      <c r="AP62" s="1244"/>
      <c r="AQ62" s="1244"/>
      <c r="AR62" s="1244"/>
      <c r="AS62" s="1244"/>
      <c r="AT62" s="1244"/>
      <c r="AU62" s="1244"/>
      <c r="AW62" s="702"/>
      <c r="AX62" s="702" t="str">
        <f t="shared" si="3"/>
        <v>Добавить наименование тарифа</v>
      </c>
      <c r="AY62" s="702"/>
      <c r="AZ62" s="702"/>
    </row>
    <row r="63" spans="1:52" ht="11.25" hidden="1" customHeight="1">
      <c r="M63" s="1062"/>
      <c r="N63" s="1062"/>
      <c r="O63" s="462"/>
      <c r="P63" s="1062"/>
      <c r="Q63" s="1062"/>
      <c r="R63" s="1057"/>
      <c r="S63" s="1057"/>
      <c r="AV63" s="1057"/>
      <c r="AW63" s="1057"/>
      <c r="AX63" s="1057"/>
      <c r="AY63" s="1057"/>
      <c r="AZ63" s="1057"/>
    </row>
    <row r="64" spans="1:52" ht="18.75" hidden="1" customHeight="1">
      <c r="O64" s="462"/>
      <c r="S64" s="1166" t="s">
        <v>508</v>
      </c>
      <c r="T64" s="2075" t="s">
        <v>554</v>
      </c>
      <c r="U64" s="2075"/>
      <c r="V64" s="2075"/>
      <c r="W64" s="2075"/>
      <c r="X64" s="2075"/>
      <c r="Y64" s="2075"/>
      <c r="Z64" s="2075"/>
      <c r="AA64" s="2075"/>
      <c r="AB64" s="2075"/>
      <c r="AC64" s="2075"/>
      <c r="AD64" s="2075"/>
      <c r="AE64" s="2075"/>
      <c r="AF64" s="2075"/>
      <c r="AG64" s="2075"/>
      <c r="AH64" s="2075"/>
      <c r="AI64" s="2075"/>
      <c r="AJ64" s="2075"/>
      <c r="AK64" s="2075"/>
      <c r="AL64" s="2075"/>
      <c r="AM64" s="2075"/>
      <c r="AN64" s="2075"/>
      <c r="AO64" s="2075"/>
      <c r="AP64" s="2075"/>
      <c r="AQ64" s="2075"/>
      <c r="AR64" s="2075"/>
      <c r="AS64" s="2075"/>
      <c r="AT64" s="2075"/>
      <c r="AU64" s="2075"/>
    </row>
    <row r="65" spans="15:47" ht="19.5" hidden="1" customHeight="1">
      <c r="O65" s="462"/>
      <c r="T65" s="2075" t="s">
        <v>534</v>
      </c>
      <c r="U65" s="2075"/>
      <c r="V65" s="2075"/>
      <c r="W65" s="2075"/>
      <c r="X65" s="2075"/>
      <c r="Y65" s="2075"/>
      <c r="Z65" s="2075"/>
      <c r="AA65" s="2075"/>
      <c r="AB65" s="2075"/>
      <c r="AC65" s="2075"/>
      <c r="AD65" s="2075"/>
      <c r="AE65" s="2075"/>
      <c r="AF65" s="2075"/>
      <c r="AG65" s="2075"/>
      <c r="AH65" s="2075"/>
      <c r="AI65" s="2075"/>
      <c r="AJ65" s="2075"/>
      <c r="AK65" s="2075"/>
      <c r="AL65" s="2075"/>
      <c r="AM65" s="2075"/>
      <c r="AN65" s="2075"/>
      <c r="AO65" s="2075"/>
      <c r="AP65" s="2075"/>
      <c r="AQ65" s="2075"/>
      <c r="AR65" s="2075"/>
      <c r="AS65" s="2075"/>
      <c r="AT65" s="2075"/>
      <c r="AU65" s="2075"/>
    </row>
    <row r="66" spans="15:47" ht="14.25" hidden="1" customHeight="1">
      <c r="O66" s="462"/>
      <c r="T66" s="1252"/>
      <c r="U66" s="1252"/>
      <c r="V66" s="1252"/>
      <c r="W66" s="1252"/>
      <c r="X66" s="1252"/>
      <c r="Y66" s="1252"/>
      <c r="Z66" s="1252"/>
      <c r="AA66" s="1252"/>
      <c r="AB66" s="1252"/>
      <c r="AC66" s="1252"/>
      <c r="AD66" s="1252"/>
      <c r="AE66" s="1252"/>
      <c r="AF66" s="1252"/>
      <c r="AG66" s="1252"/>
      <c r="AH66" s="1252"/>
      <c r="AI66" s="1252"/>
      <c r="AJ66" s="1252"/>
      <c r="AK66" s="1252"/>
      <c r="AL66" s="1252"/>
      <c r="AM66" s="1252"/>
      <c r="AN66" s="1252"/>
      <c r="AO66" s="1252"/>
      <c r="AP66" s="1252"/>
      <c r="AQ66" s="1252"/>
      <c r="AR66" s="1252"/>
      <c r="AS66" s="1252"/>
      <c r="AT66" s="1252"/>
      <c r="AU66" s="1252"/>
    </row>
    <row r="67" spans="15:47" ht="18.75" hidden="1" customHeight="1">
      <c r="O67" s="462"/>
      <c r="T67" s="2075" t="s">
        <v>555</v>
      </c>
      <c r="U67" s="2075"/>
      <c r="V67" s="2075"/>
      <c r="W67" s="2075"/>
      <c r="X67" s="2075"/>
      <c r="Y67" s="2075"/>
      <c r="Z67" s="2075"/>
      <c r="AA67" s="2075"/>
      <c r="AB67" s="2075"/>
      <c r="AC67" s="2075"/>
      <c r="AD67" s="2075"/>
      <c r="AE67" s="2075"/>
      <c r="AF67" s="2075"/>
      <c r="AG67" s="2075"/>
      <c r="AH67" s="2075"/>
      <c r="AI67" s="2075"/>
      <c r="AJ67" s="2075"/>
      <c r="AK67" s="2075"/>
      <c r="AL67" s="2075"/>
      <c r="AM67" s="2075"/>
      <c r="AN67" s="2075"/>
      <c r="AO67" s="2075"/>
      <c r="AP67" s="2075"/>
      <c r="AQ67" s="2075"/>
      <c r="AR67" s="2075"/>
      <c r="AS67" s="2075"/>
      <c r="AT67" s="2075"/>
      <c r="AU67" s="2075"/>
    </row>
    <row r="68" spans="15:47" ht="15.75" hidden="1" customHeight="1">
      <c r="O68" s="462"/>
      <c r="T68" s="2075" t="s">
        <v>534</v>
      </c>
      <c r="U68" s="2075"/>
      <c r="V68" s="2075"/>
      <c r="W68" s="2075"/>
      <c r="X68" s="2075"/>
      <c r="Y68" s="2075"/>
      <c r="Z68" s="2075"/>
      <c r="AA68" s="2075"/>
      <c r="AB68" s="2075"/>
      <c r="AC68" s="2075"/>
      <c r="AD68" s="2075"/>
      <c r="AE68" s="2075"/>
      <c r="AF68" s="2075"/>
      <c r="AG68" s="2075"/>
      <c r="AH68" s="2075"/>
      <c r="AI68" s="2075"/>
      <c r="AJ68" s="2075"/>
      <c r="AK68" s="2075"/>
      <c r="AL68" s="2075"/>
      <c r="AM68" s="2075"/>
      <c r="AN68" s="2075"/>
      <c r="AO68" s="2075"/>
      <c r="AP68" s="2075"/>
      <c r="AQ68" s="2075"/>
      <c r="AR68" s="2075"/>
      <c r="AS68" s="2075"/>
      <c r="AT68" s="2075"/>
      <c r="AU68" s="2075"/>
    </row>
    <row r="69" spans="15:47" ht="14.25" customHeight="1">
      <c r="O69" s="462"/>
    </row>
  </sheetData>
  <sheetProtection formatColumns="0" formatRows="0" insertRows="0" deleteColumns="0" deleteRows="0" sort="0" autoFilter="0"/>
  <mergeCells count="118">
    <mergeCell ref="AU8:AU12"/>
    <mergeCell ref="AJ8:AJ9"/>
    <mergeCell ref="AB8:AB11"/>
    <mergeCell ref="AC8:AC10"/>
    <mergeCell ref="AD8:AD10"/>
    <mergeCell ref="AI8:AI9"/>
    <mergeCell ref="S33:T33"/>
    <mergeCell ref="V33:Z33"/>
    <mergeCell ref="AB33:AR33"/>
    <mergeCell ref="S32:T32"/>
    <mergeCell ref="V32:Z32"/>
    <mergeCell ref="AB32:AR32"/>
    <mergeCell ref="AB2:AT2"/>
    <mergeCell ref="V3:AA3"/>
    <mergeCell ref="AB3:AT3"/>
    <mergeCell ref="V4:AA4"/>
    <mergeCell ref="AB4:AT4"/>
    <mergeCell ref="AB5:AT5"/>
    <mergeCell ref="AB6:AT6"/>
    <mergeCell ref="AB7:AT7"/>
    <mergeCell ref="S36:T36"/>
    <mergeCell ref="V36:Z36"/>
    <mergeCell ref="AB36:AR36"/>
    <mergeCell ref="S27:AR27"/>
    <mergeCell ref="S28:AR28"/>
    <mergeCell ref="S30:T30"/>
    <mergeCell ref="V30:Z30"/>
    <mergeCell ref="AB30:AR30"/>
    <mergeCell ref="S31:T31"/>
    <mergeCell ref="V31:Z31"/>
    <mergeCell ref="AB31:AR31"/>
    <mergeCell ref="AE8:AE10"/>
    <mergeCell ref="AF8:AF10"/>
    <mergeCell ref="AG8:AG9"/>
    <mergeCell ref="AH8:AH9"/>
    <mergeCell ref="AQ43:AR43"/>
    <mergeCell ref="AP41:AR42"/>
    <mergeCell ref="S40:S43"/>
    <mergeCell ref="S39:AT39"/>
    <mergeCell ref="AN40:AR40"/>
    <mergeCell ref="AB40:AE43"/>
    <mergeCell ref="AF40:AI43"/>
    <mergeCell ref="S35:T35"/>
    <mergeCell ref="V35:Z35"/>
    <mergeCell ref="AB35:AR35"/>
    <mergeCell ref="V38:AA38"/>
    <mergeCell ref="AB38:AS38"/>
    <mergeCell ref="AA40:AA43"/>
    <mergeCell ref="AS40:AS43"/>
    <mergeCell ref="AT40:AT43"/>
    <mergeCell ref="AN41:AO41"/>
    <mergeCell ref="AN42:AO42"/>
    <mergeCell ref="E45:E61"/>
    <mergeCell ref="V45:AA45"/>
    <mergeCell ref="AB45:AT45"/>
    <mergeCell ref="F46:F59"/>
    <mergeCell ref="V46:AA46"/>
    <mergeCell ref="AB46:AT46"/>
    <mergeCell ref="G47:G58"/>
    <mergeCell ref="V47:AA47"/>
    <mergeCell ref="AB47:AT47"/>
    <mergeCell ref="H48:H57"/>
    <mergeCell ref="V48:AA48"/>
    <mergeCell ref="AB48:AT48"/>
    <mergeCell ref="I49:I56"/>
    <mergeCell ref="P49:P56"/>
    <mergeCell ref="V49:AA49"/>
    <mergeCell ref="AB49:AT49"/>
    <mergeCell ref="J50:J55"/>
    <mergeCell ref="Q50:Q55"/>
    <mergeCell ref="V50:AA50"/>
    <mergeCell ref="AB50:AT50"/>
    <mergeCell ref="K51:K54"/>
    <mergeCell ref="S51:S54"/>
    <mergeCell ref="E2:E17"/>
    <mergeCell ref="F3:F16"/>
    <mergeCell ref="G4:G15"/>
    <mergeCell ref="H5:H14"/>
    <mergeCell ref="V5:AA5"/>
    <mergeCell ref="X8:X11"/>
    <mergeCell ref="Y8:Y11"/>
    <mergeCell ref="Z8:Z11"/>
    <mergeCell ref="AA8:AA11"/>
    <mergeCell ref="V2:AA2"/>
    <mergeCell ref="I6:I13"/>
    <mergeCell ref="P6:P13"/>
    <mergeCell ref="V6:AA6"/>
    <mergeCell ref="J7:J12"/>
    <mergeCell ref="Q7:Q12"/>
    <mergeCell ref="V7:AA7"/>
    <mergeCell ref="K8:K11"/>
    <mergeCell ref="S8:S11"/>
    <mergeCell ref="T8:T11"/>
    <mergeCell ref="R8:R11"/>
    <mergeCell ref="T67:AU67"/>
    <mergeCell ref="T68:AU68"/>
    <mergeCell ref="AI51:AI52"/>
    <mergeCell ref="AJ51:AJ52"/>
    <mergeCell ref="AJ40:AM43"/>
    <mergeCell ref="AD51:AD53"/>
    <mergeCell ref="AE51:AE53"/>
    <mergeCell ref="AF51:AF53"/>
    <mergeCell ref="AG51:AG52"/>
    <mergeCell ref="AH51:AH52"/>
    <mergeCell ref="T64:AU64"/>
    <mergeCell ref="T65:AU65"/>
    <mergeCell ref="T51:T54"/>
    <mergeCell ref="AB51:AB54"/>
    <mergeCell ref="AC51:AC53"/>
    <mergeCell ref="AU39:AU43"/>
    <mergeCell ref="T40:T43"/>
    <mergeCell ref="V40:Z40"/>
    <mergeCell ref="AU51:AU55"/>
    <mergeCell ref="Y44:Z44"/>
    <mergeCell ref="AQ44:AR44"/>
    <mergeCell ref="V41:W42"/>
    <mergeCell ref="X41:Z42"/>
    <mergeCell ref="Y43:Z43"/>
  </mergeCells>
  <dataValidations count="9">
    <dataValidation type="list" allowBlank="1" showInputMessage="1" showErrorMessage="1" errorTitle="Ошибка" error="Выберите значение из списка" prompt="Выберите значение из списка" sqref="AN42:AO42">
      <formula1>UNIT_CONNECT_LIST</formula1>
    </dataValidation>
    <dataValidation type="list" allowBlank="1" showInputMessage="1" errorTitle="Ошибка" error="Выберите значение из списка" prompt="Выберите значение из списка" sqref="V917557:AT917557 V983093:AT983093 V65589:AT65589 V131125:AT131125 V196661:AT196661 V262197:AT262197 V327733:AT327733 V393269:AT393269 V458805:AT458805 V524341:AT524341 V589877:AT589877 V655413:AT655413 V720949:AT720949 V786485:AT786485 V852021:AT852021">
      <formula1>kind_of_cons</formula1>
    </dataValidation>
    <dataValidation allowBlank="1" sqref="S131128:AU131134 S196664:AU196670 S262200:AU262206 S327736:AU327742 S393272:AU393278 S458808:AU458814 S524344:AU524350 S589880:AU589886 S655416:AU655422 S720952:AU720958 S786488:AU786494 S852024:AU852030 S917560:AU917566 S983096:AU983102 S65592:AU65598"/>
    <dataValidation type="list" allowBlank="1" showInputMessage="1" showErrorMessage="1" errorTitle="Ошибка" error="Выберите значение из списка" sqref="T65590 T131126 T196662 T262198 T327734 T393270 T458806 T524342 T589878 T655414 T720950 T786486 T852022 T917558 T983094">
      <formula1>kind_of_heat_transfer</formula1>
    </dataValidation>
    <dataValidation type="list" allowBlank="1" showInputMessage="1" showErrorMessage="1" errorTitle="Ошибка" error="Выберите значение из списка" sqref="AB983092:AM983092 AB65588:AM65588 AB131124:AM131124 AB196660:AM196660 AB262196:AM262196 AB327732:AM327732 AB393268:AM393268 AB458804:AM458804 AB524340:AM524340 AB589876:AM589876 AB655412:AM655412 AB720948:AM720948 AB786484:AM786484 AB852020:AM852020 AB917556:AM917556">
      <formula1>kind_of_scheme_in</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X65590 X131126 X196662 X262198 X327734 X393270 X458806 X524342 X589878 X655414 X720950 X786486 X852022 X917558 X983094 Z65590 Z131126 Z196662 Z262198 Z327734 Z393270 Z458806 Z524342 Z589878 Z655414 Z720950 Z786486 Z852022 Z917558 Z983094 X8:X10 Z8:Z10 AP65590 AP131126 AP196662 AP262198 AP327734 AP393270 AP458806 AP524342 AP589878 AP655414 AP720950 AP786486 AP852022 AP917558 AP983094 AR65590 AR131126 AR196662 AR262198 AR327734 AR393270 AR458806 AR524342 AR589878 AR655414 AR720950 AR786486 AR852022 AR917558 AR983094 AR8 AR51 AR19 AP19 AP8 AP51 Z51 X51"/>
    <dataValidation allowBlank="1" promptTitle="checkPeriodRange" sqref="W65591 W131127 W196663 W262199 W327735 W393271 W458807 W524343 W589879 W655415 W720951 W786487 W852023 W917559 W983095 AO54 W11 AO65591 AO131127 AO196663 AO262199 AO327735 AO393271 AO458807 AO524343 AO589879 AO655415 AO720951 AO786487 AO852023 AO917559 AO983095 AO11 W54"/>
    <dataValidation type="textLength" operator="lessThanOrEqual" allowBlank="1" showInputMessage="1" showErrorMessage="1" errorTitle="Ошибка" error="Допускается ввод не более 900 символов!" sqref="AU65584:AU65591 AU131120:AU131127 AU196656:AU196663 AU262192:AU262199 AU327728:AU327735 AU393264:AU393271 AU458800:AU458807 AU524336:AU524343 AU589872:AU589879 AU655408:AU655415 AU720944:AU720951 AU786480:AU786487 AU852016:AU852023 AU917552:AU917559 AU983088:AU983095 T8:T11 T51:T54">
      <formula1>900</formula1>
    </dataValidation>
    <dataValidation allowBlank="1" showInputMessage="1" showErrorMessage="1" prompt="Для выбора выполните двойной щелчок левой клавиши мыши по соответствующей ячейке." sqref="Y65590 Y131126 Y196662 Y262198 Y327734 Y393270 Y458806 Y524342 Y589878 Y655414 Y720950 Y786486 Y852022 Y917558 Y983094 AA131126 AA458806 AA196662 AA262198 AA327734 AA393270 AA524342 AA589878 AA655414 AA720950 AA786486 AA852022 AA917558 AA983094 AA65590 AA8:AA10 Y8:Y10 AQ65590 AQ131126 AQ196662 AQ262198 AQ327734 AQ393270 AQ458806 AQ524342 AQ589878 AQ655414 AQ720950 AQ786486 AQ852022 AQ917558 AQ983094 AS131126 AS458806 AS196662 AS262198 AS327734 AS393270 AS524342 AS589878 AS655414 AS720950 AS786486 AS852022 AS917558 AS983094 AS65590 AQ8 AB8 AE8:AF8 AI8:AJ8 AQ19 AS51 AS19 AB19 AE19:AF19 AI19:AJ19 AI51:AJ51 AE51:AF51 AA51:AB51 AS8 AQ51 Y51"/>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CC99"/>
  </sheetPr>
  <dimension ref="A1:CD118"/>
  <sheetViews>
    <sheetView showGridLines="0" workbookViewId="0"/>
  </sheetViews>
  <sheetFormatPr defaultColWidth="9.140625" defaultRowHeight="11.25" customHeight="1"/>
  <cols>
    <col min="1" max="1" width="32.5703125" style="1106" customWidth="1"/>
    <col min="2" max="2" width="11" style="1807" customWidth="1"/>
    <col min="3" max="3" width="9.140625" style="1807"/>
    <col min="4" max="4" width="26.5703125" style="1807" customWidth="1"/>
    <col min="5" max="5" width="27.7109375" style="1743" customWidth="1"/>
    <col min="6" max="6" width="23.5703125" style="1743" customWidth="1"/>
    <col min="7" max="7" width="31.42578125" style="1743" customWidth="1"/>
    <col min="8" max="8" width="40.85546875" style="1743" customWidth="1"/>
    <col min="9" max="9" width="14.5703125" style="1743" customWidth="1"/>
    <col min="10" max="10" width="26.85546875" style="1743" customWidth="1"/>
    <col min="11" max="11" width="50" style="1743" customWidth="1"/>
    <col min="12" max="13" width="10.7109375" style="1743" customWidth="1"/>
    <col min="14" max="14" width="55.140625" style="1743" customWidth="1"/>
    <col min="15" max="15" width="31.85546875" style="1743" customWidth="1"/>
    <col min="16" max="16" width="23.85546875" style="1743" customWidth="1"/>
    <col min="17" max="17" width="46.5703125" style="1743" customWidth="1"/>
    <col min="18" max="18" width="24" style="1743" customWidth="1"/>
    <col min="19" max="19" width="20.5703125" style="1743" customWidth="1"/>
    <col min="20" max="20" width="22" style="1743" customWidth="1"/>
    <col min="21" max="22" width="26.42578125" style="1743" customWidth="1"/>
    <col min="23" max="23" width="8.28515625" style="1743" hidden="1" customWidth="1"/>
    <col min="24" max="24" width="59.7109375" style="1743" customWidth="1"/>
    <col min="25" max="25" width="49.140625" style="1743" customWidth="1"/>
    <col min="26" max="26" width="11.140625" style="1743" customWidth="1"/>
    <col min="27" max="30" width="29" style="1743" customWidth="1"/>
    <col min="31" max="31" width="9.140625" style="1743"/>
    <col min="32" max="32" width="34.7109375" style="1743" customWidth="1"/>
    <col min="33" max="33" width="9.140625" style="1743"/>
    <col min="34" max="35" width="34.42578125" style="1743" customWidth="1"/>
    <col min="36" max="36" width="9.140625" style="1743"/>
    <col min="37" max="37" width="24.5703125" style="1743" customWidth="1"/>
    <col min="38" max="38" width="9.140625" style="1743"/>
    <col min="39" max="39" width="26.140625" style="1743" customWidth="1"/>
    <col min="40" max="40" width="1.7109375" style="1743" customWidth="1"/>
    <col min="41" max="41" width="9.140625" style="1743"/>
    <col min="42" max="43" width="47.85546875" style="1743" customWidth="1"/>
    <col min="44" max="44" width="1.7109375" style="1743" customWidth="1"/>
    <col min="45" max="45" width="21.42578125" style="1743" customWidth="1"/>
    <col min="46" max="46" width="1.7109375" style="1743" customWidth="1"/>
    <col min="47" max="47" width="31.28515625" style="1743" customWidth="1"/>
    <col min="48" max="48" width="1.7109375" style="1743" customWidth="1"/>
    <col min="49" max="50" width="9.140625" style="1743"/>
    <col min="51" max="51" width="3.7109375" style="1743" customWidth="1"/>
    <col min="52" max="52" width="55" style="1743" customWidth="1"/>
    <col min="53" max="53" width="9.140625" style="1743"/>
    <col min="54" max="54" width="35.140625" style="1743" customWidth="1"/>
    <col min="55" max="55" width="9.140625" style="1743"/>
    <col min="56" max="56" width="1.7109375" style="1743" customWidth="1"/>
    <col min="57" max="57" width="12.5703125" style="1172" customWidth="1"/>
    <col min="58" max="58" width="14.28515625" style="1172" customWidth="1"/>
    <col min="59" max="59" width="30.7109375" style="1743" customWidth="1"/>
    <col min="60" max="60" width="40.7109375" style="1760" customWidth="1"/>
    <col min="61" max="61" width="15" style="1760" customWidth="1"/>
    <col min="62" max="62" width="40.7109375" style="1760" customWidth="1"/>
    <col min="63" max="63" width="2.7109375" style="1760" customWidth="1"/>
    <col min="64" max="64" width="44.7109375" style="1760" customWidth="1"/>
    <col min="65" max="65" width="2.7109375" style="1760" customWidth="1"/>
    <col min="66" max="66" width="40.7109375" style="1760" customWidth="1"/>
    <col min="67" max="68" width="9.140625" style="1743"/>
    <col min="69" max="69" width="18.140625" style="1743" customWidth="1"/>
    <col min="70" max="70" width="57.85546875" style="1743" customWidth="1"/>
    <col min="71" max="71" width="1.7109375" style="1743" customWidth="1"/>
    <col min="72" max="72" width="22.5703125" style="1743" customWidth="1"/>
    <col min="73" max="73" width="57.85546875" style="1743" customWidth="1"/>
    <col min="74" max="74" width="1.7109375" style="1743" customWidth="1"/>
    <col min="75" max="75" width="22.5703125" style="1743" customWidth="1"/>
    <col min="76" max="76" width="57.85546875" style="1743" customWidth="1"/>
    <col min="77" max="77" width="1.7109375" style="1743" customWidth="1"/>
    <col min="78" max="78" width="22.5703125" style="1743" customWidth="1"/>
    <col min="79" max="79" width="57.85546875" style="1743" customWidth="1"/>
    <col min="80" max="81" width="9.140625" style="1743"/>
    <col min="82" max="82" width="49.5703125" style="1743" customWidth="1"/>
  </cols>
  <sheetData>
    <row r="1" spans="1:79" s="1344" customFormat="1" ht="11.25" customHeight="1">
      <c r="A1" s="974" t="s">
        <v>556</v>
      </c>
      <c r="B1" s="974" t="s">
        <v>557</v>
      </c>
      <c r="C1" s="974" t="s">
        <v>558</v>
      </c>
      <c r="D1" s="974" t="s">
        <v>559</v>
      </c>
      <c r="E1" s="974" t="s">
        <v>560</v>
      </c>
      <c r="F1" s="974" t="s">
        <v>561</v>
      </c>
      <c r="G1" s="974" t="s">
        <v>562</v>
      </c>
      <c r="H1" s="974" t="s">
        <v>563</v>
      </c>
      <c r="I1" s="974" t="s">
        <v>564</v>
      </c>
      <c r="J1" s="974" t="s">
        <v>565</v>
      </c>
      <c r="K1" s="974" t="s">
        <v>566</v>
      </c>
      <c r="L1" s="974"/>
      <c r="M1" s="974"/>
      <c r="N1" s="974" t="s">
        <v>567</v>
      </c>
      <c r="O1" s="974" t="s">
        <v>568</v>
      </c>
      <c r="P1" s="974" t="s">
        <v>569</v>
      </c>
      <c r="Q1" s="974" t="s">
        <v>570</v>
      </c>
      <c r="R1" s="974" t="s">
        <v>571</v>
      </c>
      <c r="S1" s="974" t="s">
        <v>572</v>
      </c>
      <c r="T1" s="974" t="s">
        <v>573</v>
      </c>
      <c r="U1" s="974" t="s">
        <v>574</v>
      </c>
      <c r="V1" s="974"/>
      <c r="W1" s="710" t="s">
        <v>575</v>
      </c>
      <c r="X1" s="974" t="s">
        <v>576</v>
      </c>
      <c r="Y1" s="974" t="s">
        <v>577</v>
      </c>
      <c r="Z1" s="974"/>
      <c r="AA1" s="974" t="s">
        <v>578</v>
      </c>
      <c r="AB1" s="974"/>
      <c r="AC1" s="974" t="s">
        <v>579</v>
      </c>
      <c r="AD1" s="974"/>
      <c r="AF1" s="974" t="s">
        <v>580</v>
      </c>
      <c r="AH1" s="974" t="s">
        <v>581</v>
      </c>
      <c r="AI1" s="974" t="s">
        <v>582</v>
      </c>
      <c r="AK1" s="974" t="s">
        <v>583</v>
      </c>
      <c r="AM1" s="974" t="s">
        <v>584</v>
      </c>
      <c r="AP1" s="974" t="s">
        <v>585</v>
      </c>
      <c r="AQ1" s="974" t="s">
        <v>586</v>
      </c>
      <c r="AS1" s="974" t="s">
        <v>587</v>
      </c>
      <c r="AU1" s="974" t="s">
        <v>588</v>
      </c>
      <c r="AW1" s="974" t="s">
        <v>589</v>
      </c>
      <c r="AX1" s="974" t="s">
        <v>590</v>
      </c>
      <c r="AZ1" s="1054" t="s">
        <v>591</v>
      </c>
      <c r="BB1" s="974" t="s">
        <v>592</v>
      </c>
      <c r="BC1" s="974"/>
      <c r="BE1" s="974" t="s">
        <v>593</v>
      </c>
      <c r="BF1" s="974" t="s">
        <v>594</v>
      </c>
      <c r="BH1" s="976" t="s">
        <v>595</v>
      </c>
      <c r="BI1" s="977"/>
      <c r="BJ1" s="978" t="s">
        <v>596</v>
      </c>
      <c r="BK1" s="977"/>
      <c r="BL1" s="979" t="s">
        <v>597</v>
      </c>
      <c r="BM1" s="977"/>
      <c r="BN1" s="980" t="s">
        <v>598</v>
      </c>
    </row>
    <row r="2" spans="1:79" ht="11.25" customHeight="1">
      <c r="A2" s="981" t="s">
        <v>599</v>
      </c>
      <c r="B2" s="982">
        <v>2000</v>
      </c>
      <c r="C2" s="982">
        <v>2022</v>
      </c>
      <c r="D2" s="982" t="s">
        <v>59</v>
      </c>
      <c r="E2" s="983" t="s">
        <v>600</v>
      </c>
      <c r="F2" s="983" t="s">
        <v>31</v>
      </c>
      <c r="G2" s="983" t="s">
        <v>601</v>
      </c>
      <c r="H2" s="984" t="s">
        <v>55</v>
      </c>
      <c r="I2" s="983" t="s">
        <v>109</v>
      </c>
      <c r="J2" s="983" t="s">
        <v>602</v>
      </c>
      <c r="K2" s="985" t="s">
        <v>603</v>
      </c>
      <c r="L2" s="986" t="s">
        <v>603</v>
      </c>
      <c r="M2" s="985">
        <v>1</v>
      </c>
      <c r="N2" s="1064" t="s">
        <v>604</v>
      </c>
      <c r="O2" s="984" t="s">
        <v>605</v>
      </c>
      <c r="P2" s="987" t="s">
        <v>34</v>
      </c>
      <c r="Q2" s="988" t="s">
        <v>606</v>
      </c>
      <c r="R2" s="64" t="s">
        <v>607</v>
      </c>
      <c r="S2" s="64" t="s">
        <v>608</v>
      </c>
      <c r="T2" s="989" t="s">
        <v>609</v>
      </c>
      <c r="U2" s="986" t="s">
        <v>610</v>
      </c>
      <c r="V2" s="990">
        <v>1</v>
      </c>
      <c r="W2" s="991"/>
      <c r="X2" s="991" t="s">
        <v>611</v>
      </c>
      <c r="Y2" s="982" t="s">
        <v>612</v>
      </c>
      <c r="Z2" s="992"/>
      <c r="AA2" s="982" t="s">
        <v>613</v>
      </c>
      <c r="AB2" s="993" t="s">
        <v>613</v>
      </c>
      <c r="AC2" s="982" t="s">
        <v>614</v>
      </c>
      <c r="AD2" s="993" t="s">
        <v>614</v>
      </c>
      <c r="AF2" s="984" t="s">
        <v>610</v>
      </c>
      <c r="AH2" s="983" t="s">
        <v>615</v>
      </c>
      <c r="AI2" s="983" t="s">
        <v>615</v>
      </c>
      <c r="AK2" s="983" t="s">
        <v>616</v>
      </c>
      <c r="AM2" s="983" t="s">
        <v>617</v>
      </c>
      <c r="AP2" s="994" t="s">
        <v>611</v>
      </c>
      <c r="AQ2" s="995" t="s">
        <v>611</v>
      </c>
      <c r="AS2" s="982" t="s">
        <v>618</v>
      </c>
      <c r="AU2" s="1025" t="s">
        <v>619</v>
      </c>
      <c r="AW2" s="1025" t="s">
        <v>620</v>
      </c>
      <c r="AX2" s="1025" t="s">
        <v>620</v>
      </c>
      <c r="AZ2" s="1025" t="s">
        <v>621</v>
      </c>
      <c r="BB2" s="1025" t="s">
        <v>622</v>
      </c>
      <c r="BC2" s="1025" t="s">
        <v>623</v>
      </c>
      <c r="BE2" s="1025">
        <v>2000</v>
      </c>
      <c r="BF2" s="1025" t="s">
        <v>624</v>
      </c>
    </row>
    <row r="3" spans="1:79" ht="11.25" customHeight="1">
      <c r="A3" s="981" t="s">
        <v>625</v>
      </c>
      <c r="B3" s="982">
        <v>2001</v>
      </c>
      <c r="C3" s="982">
        <v>2023</v>
      </c>
      <c r="D3" s="982" t="s">
        <v>57</v>
      </c>
      <c r="E3" s="983" t="s">
        <v>626</v>
      </c>
      <c r="F3" s="983" t="s">
        <v>627</v>
      </c>
      <c r="G3" s="983" t="s">
        <v>628</v>
      </c>
      <c r="H3" s="984" t="s">
        <v>629</v>
      </c>
      <c r="I3" s="983" t="s">
        <v>110</v>
      </c>
      <c r="J3" s="983" t="s">
        <v>630</v>
      </c>
      <c r="K3" s="985" t="s">
        <v>631</v>
      </c>
      <c r="L3" s="985" t="s">
        <v>631</v>
      </c>
      <c r="M3" s="985">
        <v>2</v>
      </c>
      <c r="N3" s="1064" t="s">
        <v>632</v>
      </c>
      <c r="O3" s="984" t="s">
        <v>633</v>
      </c>
      <c r="P3" s="987" t="s">
        <v>634</v>
      </c>
      <c r="Q3" s="988" t="s">
        <v>635</v>
      </c>
      <c r="R3" s="64" t="s">
        <v>636</v>
      </c>
      <c r="S3" s="64" t="s">
        <v>637</v>
      </c>
      <c r="T3" s="989" t="s">
        <v>638</v>
      </c>
      <c r="U3" s="986" t="s">
        <v>639</v>
      </c>
      <c r="V3" s="990">
        <v>2</v>
      </c>
      <c r="W3" s="991"/>
      <c r="X3" s="991" t="s">
        <v>640</v>
      </c>
      <c r="Y3" s="982" t="s">
        <v>612</v>
      </c>
      <c r="Z3" s="992"/>
      <c r="AA3" s="982" t="s">
        <v>641</v>
      </c>
      <c r="AB3" s="993" t="s">
        <v>641</v>
      </c>
      <c r="AC3" s="982" t="s">
        <v>642</v>
      </c>
      <c r="AD3" s="993" t="s">
        <v>642</v>
      </c>
      <c r="AF3" s="984" t="s">
        <v>639</v>
      </c>
      <c r="AH3" s="983" t="s">
        <v>643</v>
      </c>
      <c r="AI3" s="983" t="s">
        <v>644</v>
      </c>
      <c r="AK3" s="983" t="s">
        <v>645</v>
      </c>
      <c r="AM3" s="983" t="s">
        <v>646</v>
      </c>
      <c r="AP3" s="994" t="s">
        <v>647</v>
      </c>
      <c r="AQ3" s="995" t="s">
        <v>647</v>
      </c>
      <c r="AS3" s="982" t="s">
        <v>648</v>
      </c>
      <c r="AU3" s="1025" t="s">
        <v>649</v>
      </c>
      <c r="AW3" s="1025" t="s">
        <v>650</v>
      </c>
      <c r="AX3" s="1025" t="s">
        <v>650</v>
      </c>
      <c r="AZ3" s="1025" t="s">
        <v>651</v>
      </c>
      <c r="BB3" s="1025" t="s">
        <v>652</v>
      </c>
      <c r="BC3" s="1025" t="s">
        <v>623</v>
      </c>
      <c r="BE3" s="1025">
        <v>2001</v>
      </c>
      <c r="BF3" s="1025" t="s">
        <v>653</v>
      </c>
      <c r="BH3" s="974" t="s">
        <v>654</v>
      </c>
      <c r="BJ3" s="974" t="s">
        <v>655</v>
      </c>
      <c r="BL3" s="974" t="s">
        <v>656</v>
      </c>
      <c r="BN3" s="974" t="s">
        <v>657</v>
      </c>
      <c r="BR3" s="974" t="s">
        <v>658</v>
      </c>
      <c r="BS3" s="1345"/>
      <c r="BT3" s="977"/>
      <c r="BU3" s="974" t="s">
        <v>659</v>
      </c>
      <c r="BV3" s="977"/>
      <c r="BW3"/>
      <c r="BX3" s="1608" t="s">
        <v>660</v>
      </c>
      <c r="CA3" s="974" t="s">
        <v>661</v>
      </c>
    </row>
    <row r="4" spans="1:79" ht="11.25" customHeight="1">
      <c r="A4" s="981" t="s">
        <v>662</v>
      </c>
      <c r="B4" s="982">
        <v>2002</v>
      </c>
      <c r="C4" s="982">
        <v>2024</v>
      </c>
      <c r="E4" s="983" t="s">
        <v>663</v>
      </c>
      <c r="F4" s="983" t="s">
        <v>664</v>
      </c>
      <c r="H4" s="984" t="s">
        <v>665</v>
      </c>
      <c r="I4" s="983" t="s">
        <v>90</v>
      </c>
      <c r="J4" s="983" t="s">
        <v>666</v>
      </c>
      <c r="K4" s="985" t="s">
        <v>667</v>
      </c>
      <c r="L4" s="985" t="s">
        <v>667</v>
      </c>
      <c r="M4" s="985">
        <v>3</v>
      </c>
      <c r="N4" s="1064" t="s">
        <v>668</v>
      </c>
      <c r="O4" s="983" t="s">
        <v>669</v>
      </c>
      <c r="Q4" s="988" t="s">
        <v>670</v>
      </c>
      <c r="R4" s="64" t="s">
        <v>671</v>
      </c>
      <c r="S4" s="64" t="s">
        <v>672</v>
      </c>
      <c r="T4" s="989" t="s">
        <v>673</v>
      </c>
      <c r="U4" s="986" t="s">
        <v>674</v>
      </c>
      <c r="V4" s="990">
        <v>3</v>
      </c>
      <c r="W4" s="991"/>
      <c r="X4" s="991" t="s">
        <v>675</v>
      </c>
      <c r="Y4" s="982" t="s">
        <v>612</v>
      </c>
      <c r="Z4" s="997"/>
      <c r="AC4" s="982" t="s">
        <v>676</v>
      </c>
      <c r="AD4" s="993" t="s">
        <v>676</v>
      </c>
      <c r="AF4" s="984" t="s">
        <v>674</v>
      </c>
      <c r="AH4" s="984" t="s">
        <v>677</v>
      </c>
      <c r="AK4" s="983" t="s">
        <v>678</v>
      </c>
      <c r="AM4" s="983" t="s">
        <v>679</v>
      </c>
      <c r="AP4" s="994" t="s">
        <v>640</v>
      </c>
      <c r="AQ4" s="995" t="s">
        <v>640</v>
      </c>
      <c r="AS4" s="982" t="s">
        <v>680</v>
      </c>
      <c r="AU4" s="1025" t="s">
        <v>681</v>
      </c>
      <c r="AW4" s="1025" t="s">
        <v>682</v>
      </c>
      <c r="AX4" s="1025" t="s">
        <v>682</v>
      </c>
      <c r="AZ4" s="1025" t="s">
        <v>683</v>
      </c>
      <c r="BB4" s="1025" t="s">
        <v>684</v>
      </c>
      <c r="BC4" s="1025" t="s">
        <v>685</v>
      </c>
      <c r="BE4" s="1025">
        <v>2002</v>
      </c>
      <c r="BF4" s="1025" t="s">
        <v>686</v>
      </c>
      <c r="BH4" s="975" t="s">
        <v>687</v>
      </c>
      <c r="BJ4" s="975" t="s">
        <v>687</v>
      </c>
      <c r="BL4" s="975" t="s">
        <v>687</v>
      </c>
      <c r="BN4" s="975" t="s">
        <v>687</v>
      </c>
      <c r="BQ4" s="1349" t="s">
        <v>688</v>
      </c>
      <c r="BR4" s="1061" t="s">
        <v>689</v>
      </c>
      <c r="BS4" s="189"/>
      <c r="BT4" s="1349" t="s">
        <v>690</v>
      </c>
      <c r="BU4" s="1061" t="s">
        <v>691</v>
      </c>
      <c r="BV4" s="977"/>
      <c r="BW4" s="1613" t="s">
        <v>692</v>
      </c>
      <c r="BX4" s="1607" t="s">
        <v>693</v>
      </c>
      <c r="BZ4" s="1349" t="s">
        <v>694</v>
      </c>
      <c r="CA4" s="1061" t="s">
        <v>695</v>
      </c>
    </row>
    <row r="5" spans="1:79" ht="11.25" customHeight="1">
      <c r="A5" s="981" t="s">
        <v>696</v>
      </c>
      <c r="B5" s="982">
        <v>2003</v>
      </c>
      <c r="C5" s="982">
        <v>2025</v>
      </c>
      <c r="E5" s="983" t="s">
        <v>697</v>
      </c>
      <c r="F5" s="983" t="s">
        <v>698</v>
      </c>
      <c r="H5" s="984" t="s">
        <v>699</v>
      </c>
      <c r="I5" s="983" t="s">
        <v>91</v>
      </c>
      <c r="K5" s="985" t="s">
        <v>700</v>
      </c>
      <c r="L5" s="985" t="s">
        <v>700</v>
      </c>
      <c r="M5" s="985">
        <v>4</v>
      </c>
      <c r="N5" s="998" t="s">
        <v>701</v>
      </c>
      <c r="O5" s="983" t="s">
        <v>702</v>
      </c>
      <c r="Q5" s="988" t="s">
        <v>703</v>
      </c>
      <c r="R5" s="64" t="s">
        <v>704</v>
      </c>
      <c r="T5" s="984" t="s">
        <v>705</v>
      </c>
      <c r="U5" s="986" t="s">
        <v>706</v>
      </c>
      <c r="V5" s="990">
        <v>4</v>
      </c>
      <c r="W5" s="991"/>
      <c r="X5" s="991" t="s">
        <v>171</v>
      </c>
      <c r="Y5" s="982" t="s">
        <v>707</v>
      </c>
      <c r="Z5" s="997">
        <v>1</v>
      </c>
      <c r="AF5" s="984" t="s">
        <v>708</v>
      </c>
      <c r="AH5" s="983" t="s">
        <v>709</v>
      </c>
      <c r="AK5" s="983" t="s">
        <v>710</v>
      </c>
      <c r="AM5" s="983" t="s">
        <v>711</v>
      </c>
      <c r="AP5" s="994" t="s">
        <v>171</v>
      </c>
      <c r="AQ5" s="995" t="s">
        <v>171</v>
      </c>
      <c r="AU5" s="1025" t="s">
        <v>712</v>
      </c>
      <c r="AW5" s="1025" t="s">
        <v>713</v>
      </c>
      <c r="AX5" s="1025" t="s">
        <v>713</v>
      </c>
      <c r="AZ5" s="1025" t="s">
        <v>714</v>
      </c>
      <c r="BB5" s="1025" t="s">
        <v>715</v>
      </c>
      <c r="BC5" s="1025" t="s">
        <v>716</v>
      </c>
      <c r="BE5" s="1025">
        <v>2003</v>
      </c>
      <c r="BF5" s="1025" t="s">
        <v>717</v>
      </c>
      <c r="BH5" s="975" t="s">
        <v>718</v>
      </c>
      <c r="BJ5" s="975" t="s">
        <v>718</v>
      </c>
      <c r="BL5" s="975" t="s">
        <v>718</v>
      </c>
      <c r="BN5" s="975" t="s">
        <v>719</v>
      </c>
      <c r="BQ5" s="1203">
        <v>4213775</v>
      </c>
      <c r="BR5" s="975" t="s">
        <v>611</v>
      </c>
      <c r="BS5" s="1346"/>
      <c r="BT5" s="1203">
        <v>64236871</v>
      </c>
      <c r="BU5" s="975" t="s">
        <v>220</v>
      </c>
      <c r="BV5" s="977"/>
      <c r="BW5" s="1611">
        <v>4213767</v>
      </c>
      <c r="BX5" s="1609" t="s">
        <v>720</v>
      </c>
      <c r="BZ5" s="1203">
        <v>64237509</v>
      </c>
      <c r="CA5" s="1216" t="s">
        <v>721</v>
      </c>
    </row>
    <row r="6" spans="1:79" ht="11.25" customHeight="1">
      <c r="A6" s="981" t="s">
        <v>14</v>
      </c>
      <c r="B6" s="982">
        <v>2004</v>
      </c>
      <c r="C6" s="982">
        <v>2026</v>
      </c>
      <c r="E6" s="983" t="s">
        <v>722</v>
      </c>
      <c r="F6" s="999"/>
      <c r="H6" s="984" t="s">
        <v>723</v>
      </c>
      <c r="I6" s="983" t="s">
        <v>111</v>
      </c>
      <c r="J6" s="974" t="s">
        <v>724</v>
      </c>
      <c r="N6" s="998" t="s">
        <v>725</v>
      </c>
      <c r="O6" s="983" t="s">
        <v>726</v>
      </c>
      <c r="R6" s="64" t="s">
        <v>606</v>
      </c>
      <c r="T6" s="984" t="s">
        <v>727</v>
      </c>
      <c r="U6" s="986" t="s">
        <v>708</v>
      </c>
      <c r="V6" s="990">
        <v>5</v>
      </c>
      <c r="W6" s="991"/>
      <c r="X6" s="982" t="s">
        <v>177</v>
      </c>
      <c r="Y6" s="982" t="s">
        <v>728</v>
      </c>
      <c r="Z6" s="997"/>
      <c r="AA6" s="1000"/>
      <c r="AH6" s="983" t="s">
        <v>729</v>
      </c>
      <c r="AK6" s="983" t="s">
        <v>730</v>
      </c>
      <c r="AM6" s="983" t="s">
        <v>731</v>
      </c>
      <c r="AP6" s="994" t="s">
        <v>177</v>
      </c>
      <c r="AQ6" s="995" t="s">
        <v>177</v>
      </c>
      <c r="AU6" s="1025" t="s">
        <v>732</v>
      </c>
      <c r="AW6" s="1025" t="s">
        <v>733</v>
      </c>
      <c r="AX6" s="1025" t="s">
        <v>733</v>
      </c>
      <c r="BB6" s="1025" t="s">
        <v>734</v>
      </c>
      <c r="BC6" s="1025" t="s">
        <v>716</v>
      </c>
      <c r="BE6" s="1025">
        <v>2004</v>
      </c>
      <c r="BF6" s="1025" t="s">
        <v>735</v>
      </c>
      <c r="BH6" s="975" t="s">
        <v>736</v>
      </c>
      <c r="BJ6" s="975" t="s">
        <v>737</v>
      </c>
      <c r="BL6" s="975" t="s">
        <v>737</v>
      </c>
      <c r="BN6" s="975" t="s">
        <v>738</v>
      </c>
      <c r="BQ6" s="1203">
        <v>4213784</v>
      </c>
      <c r="BR6" s="1216" t="s">
        <v>647</v>
      </c>
      <c r="BS6" s="1347"/>
      <c r="BT6" s="1203">
        <v>64236872</v>
      </c>
      <c r="BU6" s="975" t="s">
        <v>225</v>
      </c>
      <c r="BV6" s="977"/>
      <c r="BW6" s="1611">
        <v>4213768</v>
      </c>
      <c r="BX6" s="1609" t="s">
        <v>245</v>
      </c>
      <c r="BZ6" s="1203">
        <v>64237510</v>
      </c>
      <c r="CA6" s="975" t="s">
        <v>739</v>
      </c>
    </row>
    <row r="7" spans="1:79" ht="11.25" customHeight="1">
      <c r="A7" s="981" t="s">
        <v>740</v>
      </c>
      <c r="B7" s="982">
        <v>2005</v>
      </c>
      <c r="E7" s="983" t="s">
        <v>741</v>
      </c>
      <c r="F7" s="999"/>
      <c r="H7" s="984" t="s">
        <v>742</v>
      </c>
      <c r="I7" s="983" t="s">
        <v>92</v>
      </c>
      <c r="J7" s="983" t="s">
        <v>743</v>
      </c>
      <c r="N7" s="1002" t="s">
        <v>744</v>
      </c>
      <c r="O7" s="983" t="s">
        <v>745</v>
      </c>
      <c r="U7" s="986" t="s">
        <v>57</v>
      </c>
      <c r="V7" s="294" t="s">
        <v>92</v>
      </c>
      <c r="W7" s="991"/>
      <c r="X7" s="982" t="s">
        <v>183</v>
      </c>
      <c r="Y7" s="982" t="s">
        <v>707</v>
      </c>
      <c r="Z7" s="997"/>
      <c r="AA7" s="1000"/>
      <c r="AH7" s="983" t="s">
        <v>746</v>
      </c>
      <c r="AK7" s="983" t="s">
        <v>747</v>
      </c>
      <c r="AM7" s="983" t="s">
        <v>748</v>
      </c>
      <c r="AP7" s="994" t="s">
        <v>183</v>
      </c>
      <c r="AQ7" s="995" t="s">
        <v>183</v>
      </c>
      <c r="AU7" s="1025" t="s">
        <v>749</v>
      </c>
      <c r="AW7" s="1025" t="s">
        <v>750</v>
      </c>
      <c r="AX7" s="1025" t="s">
        <v>750</v>
      </c>
      <c r="AZ7" s="974" t="s">
        <v>751</v>
      </c>
      <c r="BB7" s="1025" t="s">
        <v>752</v>
      </c>
      <c r="BC7" s="1025" t="s">
        <v>716</v>
      </c>
      <c r="BE7" s="1025">
        <v>2005</v>
      </c>
      <c r="BF7" s="1025" t="s">
        <v>753</v>
      </c>
      <c r="BH7" s="975" t="s">
        <v>754</v>
      </c>
      <c r="BJ7" s="975" t="s">
        <v>736</v>
      </c>
      <c r="BL7" s="975" t="s">
        <v>736</v>
      </c>
      <c r="BN7" s="975" t="s">
        <v>755</v>
      </c>
      <c r="BQ7" s="1203">
        <v>4213781</v>
      </c>
      <c r="BR7" s="975" t="s">
        <v>640</v>
      </c>
      <c r="BS7" s="1346"/>
      <c r="BT7" s="1203">
        <v>64236873</v>
      </c>
      <c r="BU7" s="975" t="s">
        <v>230</v>
      </c>
      <c r="BV7" s="977"/>
      <c r="BW7" s="1611">
        <v>4213769</v>
      </c>
      <c r="BX7" s="1609" t="s">
        <v>756</v>
      </c>
      <c r="BZ7" s="1203">
        <v>64237511</v>
      </c>
      <c r="CA7" s="975" t="s">
        <v>260</v>
      </c>
    </row>
    <row r="8" spans="1:79" ht="11.25" customHeight="1">
      <c r="A8" s="981" t="s">
        <v>757</v>
      </c>
      <c r="B8" s="982">
        <v>2006</v>
      </c>
      <c r="E8" s="983" t="s">
        <v>758</v>
      </c>
      <c r="F8" s="999"/>
      <c r="I8" s="983" t="s">
        <v>93</v>
      </c>
      <c r="J8" s="983" t="s">
        <v>759</v>
      </c>
      <c r="N8" s="1065" t="s">
        <v>760</v>
      </c>
      <c r="O8" s="983" t="s">
        <v>761</v>
      </c>
      <c r="V8" s="294" t="s">
        <v>93</v>
      </c>
      <c r="W8" s="991"/>
      <c r="X8" s="982" t="s">
        <v>189</v>
      </c>
      <c r="Y8" s="982" t="s">
        <v>707</v>
      </c>
      <c r="Z8" s="997"/>
      <c r="AA8" s="1000"/>
      <c r="AK8" s="983" t="s">
        <v>762</v>
      </c>
      <c r="AP8" s="994" t="s">
        <v>189</v>
      </c>
      <c r="AQ8" s="995" t="s">
        <v>189</v>
      </c>
      <c r="AU8" s="1025" t="s">
        <v>763</v>
      </c>
      <c r="AW8" s="1025" t="s">
        <v>764</v>
      </c>
      <c r="AX8" s="1025" t="s">
        <v>764</v>
      </c>
      <c r="AZ8" s="1025" t="s">
        <v>765</v>
      </c>
      <c r="BB8" s="1025" t="s">
        <v>766</v>
      </c>
      <c r="BC8" s="1025" t="s">
        <v>716</v>
      </c>
      <c r="BE8" s="1025">
        <v>2006</v>
      </c>
      <c r="BF8" s="1025" t="s">
        <v>767</v>
      </c>
      <c r="BH8" s="975" t="s">
        <v>768</v>
      </c>
      <c r="BJ8" s="975" t="s">
        <v>769</v>
      </c>
      <c r="BL8" s="975" t="s">
        <v>769</v>
      </c>
      <c r="BN8" s="975" t="s">
        <v>770</v>
      </c>
      <c r="BQ8" s="1203">
        <v>4213776</v>
      </c>
      <c r="BR8" s="975" t="s">
        <v>171</v>
      </c>
      <c r="BS8" s="1346"/>
      <c r="BT8" s="1203">
        <v>64236874</v>
      </c>
      <c r="BU8" s="1216" t="s">
        <v>771</v>
      </c>
      <c r="BV8" s="977"/>
      <c r="BW8" s="1611">
        <v>4213770</v>
      </c>
      <c r="BX8" s="1612" t="s">
        <v>772</v>
      </c>
      <c r="BZ8" s="1203">
        <v>64237512</v>
      </c>
      <c r="CA8" s="975" t="s">
        <v>255</v>
      </c>
    </row>
    <row r="9" spans="1:79" ht="11.25" customHeight="1">
      <c r="A9" s="981" t="s">
        <v>773</v>
      </c>
      <c r="B9" s="982">
        <v>2007</v>
      </c>
      <c r="E9" s="983" t="s">
        <v>774</v>
      </c>
      <c r="F9" s="999"/>
      <c r="G9" s="974" t="s">
        <v>775</v>
      </c>
      <c r="H9" s="974" t="s">
        <v>776</v>
      </c>
      <c r="I9" s="983" t="s">
        <v>112</v>
      </c>
      <c r="O9" s="983" t="s">
        <v>777</v>
      </c>
      <c r="V9" s="294" t="s">
        <v>112</v>
      </c>
      <c r="W9" s="991"/>
      <c r="X9" s="982" t="s">
        <v>195</v>
      </c>
      <c r="Y9" s="982" t="s">
        <v>612</v>
      </c>
      <c r="Z9" s="997">
        <v>1</v>
      </c>
      <c r="AA9" s="1000"/>
      <c r="AK9" s="983" t="s">
        <v>778</v>
      </c>
      <c r="AP9" s="994" t="s">
        <v>779</v>
      </c>
      <c r="AQ9" s="995" t="s">
        <v>779</v>
      </c>
      <c r="AW9" s="1025" t="s">
        <v>780</v>
      </c>
      <c r="AX9" s="1025" t="s">
        <v>780</v>
      </c>
      <c r="AZ9" s="1025" t="s">
        <v>781</v>
      </c>
      <c r="BB9" s="1025" t="s">
        <v>782</v>
      </c>
      <c r="BC9" s="1025" t="s">
        <v>716</v>
      </c>
      <c r="BE9" s="1025">
        <v>2007</v>
      </c>
      <c r="BF9" s="1025" t="s">
        <v>783</v>
      </c>
      <c r="BH9" s="975" t="s">
        <v>784</v>
      </c>
      <c r="BJ9" s="975" t="s">
        <v>785</v>
      </c>
      <c r="BL9" s="975" t="s">
        <v>785</v>
      </c>
      <c r="BN9" s="975" t="s">
        <v>786</v>
      </c>
      <c r="BQ9" s="1203">
        <v>4213777</v>
      </c>
      <c r="BR9" s="975" t="s">
        <v>177</v>
      </c>
      <c r="BS9" s="1346"/>
      <c r="BT9" s="1203">
        <v>64236875</v>
      </c>
      <c r="BU9" s="975" t="s">
        <v>235</v>
      </c>
      <c r="BV9" s="977"/>
      <c r="BW9"/>
      <c r="BX9"/>
    </row>
    <row r="10" spans="1:79" ht="11.25" customHeight="1">
      <c r="A10" s="981" t="s">
        <v>787</v>
      </c>
      <c r="B10" s="982">
        <v>2008</v>
      </c>
      <c r="E10" s="983" t="s">
        <v>788</v>
      </c>
      <c r="F10" s="999"/>
      <c r="G10" s="983" t="s">
        <v>789</v>
      </c>
      <c r="H10" s="983" t="s">
        <v>790</v>
      </c>
      <c r="I10" s="983" t="s">
        <v>153</v>
      </c>
      <c r="J10" s="974" t="s">
        <v>791</v>
      </c>
      <c r="K10" s="974" t="s">
        <v>792</v>
      </c>
      <c r="O10" s="983" t="s">
        <v>793</v>
      </c>
      <c r="V10" s="295" t="s">
        <v>153</v>
      </c>
      <c r="W10" s="1003"/>
      <c r="X10" s="1003" t="s">
        <v>794</v>
      </c>
      <c r="Y10" s="1004" t="s">
        <v>795</v>
      </c>
      <c r="Z10" s="997"/>
      <c r="AP10" s="994" t="s">
        <v>794</v>
      </c>
      <c r="AQ10" s="995" t="s">
        <v>794</v>
      </c>
      <c r="AW10" s="1025" t="s">
        <v>796</v>
      </c>
      <c r="AX10" s="1025" t="s">
        <v>796</v>
      </c>
      <c r="AZ10" s="1025" t="s">
        <v>797</v>
      </c>
      <c r="BB10" s="1025" t="s">
        <v>798</v>
      </c>
      <c r="BC10" s="1025" t="s">
        <v>716</v>
      </c>
      <c r="BE10" s="1025">
        <v>2008</v>
      </c>
      <c r="BF10" s="1025" t="s">
        <v>799</v>
      </c>
      <c r="BH10" s="975" t="s">
        <v>800</v>
      </c>
      <c r="BJ10" s="975" t="s">
        <v>801</v>
      </c>
      <c r="BL10" s="975" t="s">
        <v>801</v>
      </c>
      <c r="BN10" s="975" t="s">
        <v>802</v>
      </c>
      <c r="BQ10" s="1203">
        <v>4213778</v>
      </c>
      <c r="BR10" s="975" t="s">
        <v>183</v>
      </c>
      <c r="BS10" s="1346"/>
      <c r="BT10" s="1203">
        <v>64236876</v>
      </c>
      <c r="BU10" s="975" t="s">
        <v>215</v>
      </c>
      <c r="BV10" s="977"/>
      <c r="BW10"/>
      <c r="BX10"/>
    </row>
    <row r="11" spans="1:79" ht="11.25" customHeight="1">
      <c r="A11" s="981" t="s">
        <v>803</v>
      </c>
      <c r="B11" s="982">
        <v>2009</v>
      </c>
      <c r="E11" s="983" t="s">
        <v>804</v>
      </c>
      <c r="F11" s="999"/>
      <c r="G11" s="983" t="s">
        <v>805</v>
      </c>
      <c r="H11" s="983" t="s">
        <v>806</v>
      </c>
      <c r="I11" s="983" t="s">
        <v>154</v>
      </c>
      <c r="J11" s="984" t="s">
        <v>807</v>
      </c>
      <c r="K11" s="1005" t="s">
        <v>808</v>
      </c>
      <c r="O11" s="984" t="s">
        <v>809</v>
      </c>
      <c r="V11" s="294" t="s">
        <v>154</v>
      </c>
      <c r="W11" s="190"/>
      <c r="X11" s="991" t="s">
        <v>779</v>
      </c>
      <c r="Y11" s="982" t="s">
        <v>810</v>
      </c>
      <c r="Z11" s="997"/>
      <c r="AP11" s="994" t="s">
        <v>195</v>
      </c>
      <c r="AQ11" s="996" t="s">
        <v>195</v>
      </c>
      <c r="AW11" s="1025" t="s">
        <v>811</v>
      </c>
      <c r="AX11" s="1025" t="s">
        <v>811</v>
      </c>
      <c r="AZ11" s="1025" t="s">
        <v>812</v>
      </c>
      <c r="BB11" s="1025" t="s">
        <v>813</v>
      </c>
      <c r="BC11" s="1025" t="s">
        <v>716</v>
      </c>
      <c r="BE11" s="1025">
        <v>2009</v>
      </c>
      <c r="BF11" s="1025" t="s">
        <v>814</v>
      </c>
      <c r="BH11" s="975" t="s">
        <v>815</v>
      </c>
      <c r="BJ11" s="975" t="s">
        <v>784</v>
      </c>
      <c r="BL11" s="975" t="s">
        <v>784</v>
      </c>
      <c r="BN11" s="975" t="s">
        <v>816</v>
      </c>
      <c r="BQ11" s="1203">
        <v>4213780</v>
      </c>
      <c r="BR11" s="975" t="s">
        <v>189</v>
      </c>
      <c r="BS11" s="1346"/>
      <c r="BW11"/>
      <c r="BX11"/>
    </row>
    <row r="12" spans="1:79" ht="11.25" customHeight="1">
      <c r="A12" s="981" t="s">
        <v>817</v>
      </c>
      <c r="B12" s="982">
        <v>2010</v>
      </c>
      <c r="E12" s="983" t="s">
        <v>818</v>
      </c>
      <c r="F12" s="999"/>
      <c r="G12" s="983" t="s">
        <v>806</v>
      </c>
      <c r="I12" s="983" t="s">
        <v>155</v>
      </c>
      <c r="J12" s="984" t="s">
        <v>819</v>
      </c>
      <c r="K12" s="1005" t="s">
        <v>820</v>
      </c>
      <c r="O12" s="984" t="s">
        <v>606</v>
      </c>
      <c r="V12" s="294" t="s">
        <v>155</v>
      </c>
      <c r="W12" s="996"/>
      <c r="X12" s="991" t="s">
        <v>821</v>
      </c>
      <c r="Y12" s="982" t="s">
        <v>612</v>
      </c>
      <c r="AP12" s="994"/>
      <c r="AW12" s="1025" t="s">
        <v>154</v>
      </c>
      <c r="AX12" s="1025" t="s">
        <v>154</v>
      </c>
      <c r="AZ12" s="1025" t="s">
        <v>822</v>
      </c>
      <c r="BB12" s="1025" t="s">
        <v>823</v>
      </c>
      <c r="BC12" s="1025" t="s">
        <v>716</v>
      </c>
      <c r="BE12" s="1025">
        <v>2010</v>
      </c>
      <c r="BF12" s="1025" t="s">
        <v>824</v>
      </c>
      <c r="BH12" s="975" t="s">
        <v>825</v>
      </c>
      <c r="BJ12" s="975" t="s">
        <v>826</v>
      </c>
      <c r="BL12" s="975" t="s">
        <v>826</v>
      </c>
      <c r="BN12" s="975" t="s">
        <v>827</v>
      </c>
      <c r="BQ12" s="1203">
        <v>4213779</v>
      </c>
      <c r="BR12" s="975" t="s">
        <v>779</v>
      </c>
      <c r="BS12" s="1346"/>
      <c r="BT12" s="977"/>
      <c r="BU12" s="977"/>
      <c r="BV12" s="977"/>
      <c r="BW12"/>
      <c r="BX12"/>
    </row>
    <row r="13" spans="1:79" ht="11.25" customHeight="1">
      <c r="A13" s="981" t="s">
        <v>828</v>
      </c>
      <c r="B13" s="982">
        <v>2011</v>
      </c>
      <c r="E13" s="983" t="s">
        <v>829</v>
      </c>
      <c r="F13" s="999"/>
      <c r="I13" s="983" t="s">
        <v>156</v>
      </c>
      <c r="K13" s="1005" t="s">
        <v>778</v>
      </c>
      <c r="V13" s="294" t="s">
        <v>156</v>
      </c>
      <c r="W13" s="996"/>
      <c r="X13" s="996"/>
      <c r="Y13" s="996"/>
      <c r="AW13" s="1025" t="s">
        <v>155</v>
      </c>
      <c r="AX13" s="1025" t="s">
        <v>155</v>
      </c>
      <c r="BB13" s="1025" t="s">
        <v>830</v>
      </c>
      <c r="BC13" s="1025" t="s">
        <v>831</v>
      </c>
      <c r="BE13" s="1025">
        <v>2011</v>
      </c>
      <c r="BF13" s="1025" t="s">
        <v>832</v>
      </c>
      <c r="BH13" s="975" t="s">
        <v>833</v>
      </c>
      <c r="BJ13" s="975" t="s">
        <v>815</v>
      </c>
      <c r="BL13" s="975" t="s">
        <v>815</v>
      </c>
      <c r="BN13" s="975" t="s">
        <v>834</v>
      </c>
      <c r="BQ13" s="1203">
        <v>4213783</v>
      </c>
      <c r="BR13" s="975" t="s">
        <v>794</v>
      </c>
      <c r="BS13" s="1346"/>
      <c r="BT13" s="977"/>
      <c r="BU13" s="977"/>
      <c r="BV13" s="977"/>
      <c r="BW13" s="1610"/>
      <c r="BX13"/>
    </row>
    <row r="14" spans="1:79" ht="11.25" customHeight="1">
      <c r="A14" s="981" t="s">
        <v>835</v>
      </c>
      <c r="B14" s="982">
        <v>2012</v>
      </c>
      <c r="I14" s="983" t="s">
        <v>157</v>
      </c>
      <c r="J14" s="974" t="s">
        <v>836</v>
      </c>
      <c r="N14" s="974" t="s">
        <v>837</v>
      </c>
      <c r="V14" s="990">
        <v>13</v>
      </c>
      <c r="W14" s="991"/>
      <c r="X14" s="991" t="s">
        <v>647</v>
      </c>
      <c r="Y14" s="982" t="s">
        <v>612</v>
      </c>
      <c r="AW14" s="1025" t="s">
        <v>156</v>
      </c>
      <c r="AX14" s="1025" t="s">
        <v>156</v>
      </c>
      <c r="AZ14" s="974" t="s">
        <v>838</v>
      </c>
      <c r="BB14" s="1025" t="s">
        <v>839</v>
      </c>
      <c r="BC14" s="1025" t="s">
        <v>831</v>
      </c>
      <c r="BE14" s="1025">
        <v>2012</v>
      </c>
      <c r="BH14" s="975" t="s">
        <v>755</v>
      </c>
      <c r="BJ14" s="1123" t="s">
        <v>840</v>
      </c>
      <c r="BL14" s="1123" t="s">
        <v>840</v>
      </c>
      <c r="BN14" s="975" t="s">
        <v>841</v>
      </c>
      <c r="BQ14" s="1203">
        <v>4213782</v>
      </c>
      <c r="BR14" s="975" t="s">
        <v>195</v>
      </c>
      <c r="BS14" s="1346"/>
      <c r="BT14" s="977"/>
      <c r="BU14" s="977"/>
      <c r="BV14" s="977"/>
      <c r="BW14" s="1610"/>
      <c r="BX14"/>
    </row>
    <row r="15" spans="1:79" ht="19.5" customHeight="1">
      <c r="A15" s="981" t="s">
        <v>842</v>
      </c>
      <c r="B15" s="982">
        <v>2013</v>
      </c>
      <c r="E15" s="1614" t="s">
        <v>843</v>
      </c>
      <c r="G15" s="974" t="s">
        <v>844</v>
      </c>
      <c r="H15" s="974" t="s">
        <v>845</v>
      </c>
      <c r="I15" s="985" t="s">
        <v>158</v>
      </c>
      <c r="J15" s="996" t="s">
        <v>846</v>
      </c>
      <c r="N15" s="1060" t="s">
        <v>847</v>
      </c>
      <c r="X15" s="994"/>
      <c r="AW15" s="1025" t="s">
        <v>157</v>
      </c>
      <c r="AX15" s="1025" t="s">
        <v>157</v>
      </c>
      <c r="AZ15" s="1025" t="s">
        <v>765</v>
      </c>
      <c r="BB15" s="1025" t="s">
        <v>848</v>
      </c>
      <c r="BC15" s="1025" t="s">
        <v>831</v>
      </c>
      <c r="BE15" s="1025">
        <v>2013</v>
      </c>
      <c r="BH15" s="975" t="s">
        <v>770</v>
      </c>
      <c r="BJ15" s="1123" t="s">
        <v>849</v>
      </c>
      <c r="BL15" s="1123" t="s">
        <v>849</v>
      </c>
      <c r="BN15" s="975" t="s">
        <v>850</v>
      </c>
      <c r="BR15" s="977"/>
      <c r="BS15" s="1348"/>
      <c r="BT15" s="977"/>
      <c r="BU15" s="977"/>
      <c r="BV15" s="977"/>
      <c r="BW15" s="1610"/>
      <c r="BX15"/>
    </row>
    <row r="16" spans="1:79" ht="21" customHeight="1">
      <c r="A16" s="981" t="s">
        <v>851</v>
      </c>
      <c r="B16" s="982">
        <v>2014</v>
      </c>
      <c r="E16" s="1615" t="s">
        <v>852</v>
      </c>
      <c r="G16" s="983" t="s">
        <v>853</v>
      </c>
      <c r="H16" s="983" t="s">
        <v>854</v>
      </c>
      <c r="I16" s="985" t="s">
        <v>855</v>
      </c>
      <c r="J16" s="996" t="s">
        <v>630</v>
      </c>
      <c r="N16" s="1060" t="s">
        <v>856</v>
      </c>
      <c r="AW16" s="1025" t="s">
        <v>158</v>
      </c>
      <c r="AX16" s="1025" t="s">
        <v>158</v>
      </c>
      <c r="AZ16" s="1025" t="s">
        <v>781</v>
      </c>
      <c r="BB16" s="1025" t="s">
        <v>857</v>
      </c>
      <c r="BC16" s="1025" t="s">
        <v>831</v>
      </c>
      <c r="BE16" s="1025">
        <v>2014</v>
      </c>
      <c r="BH16" s="975" t="s">
        <v>786</v>
      </c>
      <c r="BJ16" s="1123" t="s">
        <v>858</v>
      </c>
      <c r="BL16" s="1123" t="s">
        <v>858</v>
      </c>
      <c r="BN16" s="975" t="s">
        <v>859</v>
      </c>
      <c r="BR16" s="977"/>
      <c r="BS16" s="1348"/>
      <c r="BT16" s="977"/>
      <c r="BU16" s="977"/>
      <c r="BV16" s="977"/>
      <c r="BW16" s="1610"/>
      <c r="BX16"/>
    </row>
    <row r="17" spans="1:82" ht="21" customHeight="1">
      <c r="A17" s="981" t="s">
        <v>860</v>
      </c>
      <c r="B17" s="982">
        <v>2015</v>
      </c>
      <c r="G17" s="983" t="s">
        <v>806</v>
      </c>
      <c r="H17" s="983" t="s">
        <v>806</v>
      </c>
      <c r="I17" s="983" t="s">
        <v>861</v>
      </c>
      <c r="N17" s="1060" t="s">
        <v>862</v>
      </c>
      <c r="X17" s="994"/>
      <c r="AW17" s="1025" t="s">
        <v>855</v>
      </c>
      <c r="AX17" s="1025" t="s">
        <v>855</v>
      </c>
      <c r="AZ17" s="1025" t="s">
        <v>863</v>
      </c>
      <c r="BB17" s="1025" t="s">
        <v>864</v>
      </c>
      <c r="BC17" s="1025" t="s">
        <v>716</v>
      </c>
      <c r="BE17" s="1025">
        <v>2015</v>
      </c>
      <c r="BH17" s="975" t="s">
        <v>802</v>
      </c>
      <c r="BJ17" s="1123" t="s">
        <v>865</v>
      </c>
      <c r="BL17" s="1123" t="s">
        <v>865</v>
      </c>
      <c r="BN17" s="975" t="s">
        <v>866</v>
      </c>
      <c r="BR17" s="974" t="s">
        <v>658</v>
      </c>
      <c r="BS17" s="1345"/>
      <c r="BU17" s="974" t="s">
        <v>867</v>
      </c>
      <c r="BV17" s="977"/>
      <c r="BW17"/>
      <c r="BX17" s="1608" t="s">
        <v>868</v>
      </c>
      <c r="CA17" s="974" t="s">
        <v>869</v>
      </c>
      <c r="CD17" s="974" t="s">
        <v>870</v>
      </c>
    </row>
    <row r="18" spans="1:82" ht="21" customHeight="1">
      <c r="A18" s="981" t="s">
        <v>871</v>
      </c>
      <c r="B18" s="982">
        <v>2016</v>
      </c>
      <c r="I18" s="983" t="s">
        <v>872</v>
      </c>
      <c r="N18" s="1060" t="s">
        <v>873</v>
      </c>
      <c r="X18" s="994"/>
      <c r="AW18" s="1025" t="s">
        <v>861</v>
      </c>
      <c r="AX18" s="1025" t="s">
        <v>861</v>
      </c>
      <c r="BB18" s="1025" t="s">
        <v>874</v>
      </c>
      <c r="BC18" s="1025" t="s">
        <v>716</v>
      </c>
      <c r="BE18" s="1025">
        <v>2016</v>
      </c>
      <c r="BH18" s="975" t="s">
        <v>816</v>
      </c>
      <c r="BJ18" s="1123" t="s">
        <v>875</v>
      </c>
      <c r="BL18" s="1123" t="s">
        <v>875</v>
      </c>
      <c r="BN18" s="975" t="s">
        <v>876</v>
      </c>
      <c r="BQ18" s="1349" t="s">
        <v>688</v>
      </c>
      <c r="BR18" s="1061" t="s">
        <v>689</v>
      </c>
      <c r="BS18" s="189"/>
      <c r="BT18" s="1349" t="s">
        <v>877</v>
      </c>
      <c r="BU18" s="1061" t="s">
        <v>878</v>
      </c>
      <c r="BV18" s="977"/>
      <c r="BW18" s="1613" t="s">
        <v>879</v>
      </c>
      <c r="BX18" s="1607" t="s">
        <v>880</v>
      </c>
      <c r="BZ18" s="1349" t="s">
        <v>881</v>
      </c>
      <c r="CA18" s="1061" t="s">
        <v>882</v>
      </c>
      <c r="CC18" s="1349" t="s">
        <v>883</v>
      </c>
      <c r="CD18" s="1061" t="s">
        <v>884</v>
      </c>
    </row>
    <row r="19" spans="1:82" ht="21" customHeight="1">
      <c r="A19" s="981" t="s">
        <v>885</v>
      </c>
      <c r="B19" s="982">
        <v>2017</v>
      </c>
      <c r="I19" s="983" t="s">
        <v>886</v>
      </c>
      <c r="N19" s="1060" t="s">
        <v>887</v>
      </c>
      <c r="X19" s="994"/>
      <c r="AW19" s="1025" t="s">
        <v>872</v>
      </c>
      <c r="AX19" s="1025" t="s">
        <v>872</v>
      </c>
      <c r="AZ19" s="974" t="s">
        <v>888</v>
      </c>
      <c r="BB19" s="1025" t="s">
        <v>889</v>
      </c>
      <c r="BC19" s="1025" t="s">
        <v>716</v>
      </c>
      <c r="BE19" s="1025">
        <v>2017</v>
      </c>
      <c r="BH19" s="975" t="s">
        <v>890</v>
      </c>
      <c r="BJ19" s="1123" t="s">
        <v>891</v>
      </c>
      <c r="BL19" s="1123" t="s">
        <v>891</v>
      </c>
      <c r="BQ19" s="1203">
        <v>4190064</v>
      </c>
      <c r="BR19" s="975" t="s">
        <v>892</v>
      </c>
      <c r="BS19" s="1346"/>
      <c r="BT19" s="1203">
        <v>4189671</v>
      </c>
      <c r="BU19" s="975" t="s">
        <v>893</v>
      </c>
      <c r="BV19" s="977"/>
      <c r="BW19" s="1611">
        <v>4189706</v>
      </c>
      <c r="BX19" s="1609" t="s">
        <v>894</v>
      </c>
      <c r="BZ19" s="1203">
        <v>4189714</v>
      </c>
      <c r="CA19" s="975" t="s">
        <v>895</v>
      </c>
      <c r="CC19" s="1203">
        <v>4189708</v>
      </c>
      <c r="CD19" s="975" t="s">
        <v>896</v>
      </c>
    </row>
    <row r="20" spans="1:82" ht="21" customHeight="1">
      <c r="A20" s="981" t="s">
        <v>897</v>
      </c>
      <c r="B20" s="982">
        <v>2018</v>
      </c>
      <c r="I20" s="983" t="s">
        <v>898</v>
      </c>
      <c r="N20" s="1060" t="s">
        <v>899</v>
      </c>
      <c r="AW20" s="1025" t="s">
        <v>886</v>
      </c>
      <c r="AX20" s="1025" t="s">
        <v>886</v>
      </c>
      <c r="AZ20" s="1025" t="s">
        <v>900</v>
      </c>
      <c r="BB20" s="1025" t="s">
        <v>901</v>
      </c>
      <c r="BC20" s="1025" t="s">
        <v>831</v>
      </c>
      <c r="BE20" s="1025">
        <v>2018</v>
      </c>
      <c r="BH20" s="975" t="s">
        <v>827</v>
      </c>
      <c r="BJ20" s="975" t="s">
        <v>755</v>
      </c>
      <c r="BL20" s="975" t="s">
        <v>755</v>
      </c>
      <c r="BQ20" s="1203">
        <v>4190065</v>
      </c>
      <c r="BR20" s="975" t="s">
        <v>902</v>
      </c>
      <c r="BS20" s="1346"/>
      <c r="BT20" s="1203">
        <v>4189672</v>
      </c>
      <c r="BU20" s="975" t="s">
        <v>903</v>
      </c>
      <c r="BV20" s="977"/>
      <c r="BW20" s="1611">
        <v>4189705</v>
      </c>
      <c r="BX20" s="1609" t="s">
        <v>904</v>
      </c>
      <c r="BZ20" s="1203">
        <v>4189713</v>
      </c>
      <c r="CA20" s="975" t="s">
        <v>904</v>
      </c>
      <c r="CC20" s="1203">
        <v>4189709</v>
      </c>
      <c r="CD20" s="975" t="s">
        <v>905</v>
      </c>
    </row>
    <row r="21" spans="1:82" ht="21" customHeight="1">
      <c r="A21" s="981" t="s">
        <v>906</v>
      </c>
      <c r="B21" s="982">
        <v>2019</v>
      </c>
      <c r="I21" s="983" t="s">
        <v>907</v>
      </c>
      <c r="N21" s="1060" t="s">
        <v>908</v>
      </c>
      <c r="AW21" s="1025" t="s">
        <v>898</v>
      </c>
      <c r="AX21" s="1025" t="s">
        <v>898</v>
      </c>
      <c r="AZ21" s="1025" t="s">
        <v>909</v>
      </c>
      <c r="BB21" s="1025" t="s">
        <v>910</v>
      </c>
      <c r="BC21" s="1025" t="s">
        <v>716</v>
      </c>
      <c r="BE21" s="1025">
        <v>2019</v>
      </c>
      <c r="BH21" s="975" t="s">
        <v>834</v>
      </c>
      <c r="BJ21" s="975" t="s">
        <v>770</v>
      </c>
      <c r="BL21" s="975" t="s">
        <v>770</v>
      </c>
      <c r="BQ21" s="1203">
        <v>4190066</v>
      </c>
      <c r="BR21" s="975" t="s">
        <v>911</v>
      </c>
      <c r="BS21" s="1346"/>
      <c r="BT21" s="1203">
        <v>4189673</v>
      </c>
      <c r="BU21" s="975" t="s">
        <v>912</v>
      </c>
      <c r="BV21" s="977"/>
      <c r="BW21" s="1611">
        <v>4189707</v>
      </c>
      <c r="BX21" s="1609" t="s">
        <v>913</v>
      </c>
      <c r="BZ21" s="1203">
        <v>4189712</v>
      </c>
      <c r="CA21" s="975" t="s">
        <v>914</v>
      </c>
      <c r="CC21" s="1203">
        <v>4189710</v>
      </c>
      <c r="CD21" s="975" t="s">
        <v>915</v>
      </c>
    </row>
    <row r="22" spans="1:82" ht="21" customHeight="1">
      <c r="A22" s="981" t="s">
        <v>916</v>
      </c>
      <c r="B22" s="982">
        <v>2020</v>
      </c>
      <c r="N22" s="1060" t="s">
        <v>917</v>
      </c>
      <c r="AW22" s="1025" t="s">
        <v>907</v>
      </c>
      <c r="AX22" s="1025" t="s">
        <v>907</v>
      </c>
      <c r="AZ22" s="1025" t="s">
        <v>918</v>
      </c>
      <c r="BB22" s="1025" t="s">
        <v>919</v>
      </c>
      <c r="BC22" s="1025" t="s">
        <v>716</v>
      </c>
      <c r="BE22" s="1025">
        <v>2020</v>
      </c>
      <c r="BH22" s="975" t="s">
        <v>841</v>
      </c>
      <c r="BJ22" s="975" t="s">
        <v>786</v>
      </c>
      <c r="BL22" s="975" t="s">
        <v>786</v>
      </c>
      <c r="BQ22" s="1203">
        <v>4190067</v>
      </c>
      <c r="BR22" s="975" t="s">
        <v>920</v>
      </c>
      <c r="BS22" s="1346"/>
      <c r="BT22" s="1203">
        <v>4189674</v>
      </c>
      <c r="BU22" s="975" t="s">
        <v>921</v>
      </c>
      <c r="BV22" s="977"/>
      <c r="BW22" s="977"/>
      <c r="CC22" s="1203">
        <v>4189711</v>
      </c>
      <c r="CD22" s="975" t="s">
        <v>284</v>
      </c>
    </row>
    <row r="23" spans="1:82" ht="21" customHeight="1">
      <c r="A23" s="981" t="s">
        <v>922</v>
      </c>
      <c r="B23" s="982">
        <v>2021</v>
      </c>
      <c r="AW23" s="1025" t="s">
        <v>923</v>
      </c>
      <c r="AX23" s="1025" t="s">
        <v>923</v>
      </c>
      <c r="AZ23" s="1025" t="s">
        <v>924</v>
      </c>
      <c r="BB23" s="1025" t="s">
        <v>925</v>
      </c>
      <c r="BC23" s="1025" t="s">
        <v>623</v>
      </c>
      <c r="BE23" s="1025">
        <v>2021</v>
      </c>
      <c r="BH23" s="975" t="s">
        <v>850</v>
      </c>
      <c r="BJ23" s="975" t="s">
        <v>802</v>
      </c>
      <c r="BL23" s="975" t="s">
        <v>802</v>
      </c>
      <c r="BQ23" s="1203">
        <v>4190068</v>
      </c>
      <c r="BR23" s="975" t="s">
        <v>926</v>
      </c>
      <c r="BS23" s="1346"/>
      <c r="BT23" s="1203">
        <v>4189675</v>
      </c>
      <c r="BU23" s="975" t="s">
        <v>927</v>
      </c>
      <c r="BV23" s="977"/>
      <c r="BW23" s="977"/>
      <c r="CC23" s="1203">
        <v>5110778</v>
      </c>
      <c r="CD23" s="975" t="s">
        <v>928</v>
      </c>
    </row>
    <row r="24" spans="1:82" ht="21" customHeight="1">
      <c r="A24" s="981" t="s">
        <v>929</v>
      </c>
      <c r="B24" s="982">
        <v>2022</v>
      </c>
      <c r="AW24" s="1025" t="s">
        <v>930</v>
      </c>
      <c r="AX24" s="1025" t="s">
        <v>930</v>
      </c>
      <c r="AZ24" s="1025" t="s">
        <v>931</v>
      </c>
      <c r="BB24" s="1025" t="s">
        <v>932</v>
      </c>
      <c r="BC24" s="1025" t="s">
        <v>933</v>
      </c>
      <c r="BE24" s="1025">
        <v>2022</v>
      </c>
      <c r="BH24" s="975" t="s">
        <v>859</v>
      </c>
      <c r="BJ24" s="975" t="s">
        <v>816</v>
      </c>
      <c r="BL24" s="975" t="s">
        <v>816</v>
      </c>
      <c r="BQ24" s="1203">
        <v>4190069</v>
      </c>
      <c r="BR24" s="975" t="s">
        <v>934</v>
      </c>
      <c r="BS24" s="1346"/>
      <c r="BT24" s="1203">
        <v>4189676</v>
      </c>
      <c r="BU24" s="975" t="s">
        <v>935</v>
      </c>
      <c r="BV24" s="977"/>
      <c r="BW24" s="977"/>
      <c r="CC24" s="1203">
        <v>25575374</v>
      </c>
      <c r="CD24" s="975" t="s">
        <v>936</v>
      </c>
    </row>
    <row r="25" spans="1:82" ht="11.25" customHeight="1">
      <c r="A25" s="981" t="s">
        <v>937</v>
      </c>
      <c r="B25" s="982">
        <v>2023</v>
      </c>
      <c r="AW25" s="1025" t="s">
        <v>938</v>
      </c>
      <c r="AX25" s="1025" t="s">
        <v>938</v>
      </c>
      <c r="AZ25" s="1025" t="s">
        <v>939</v>
      </c>
      <c r="BB25" s="1025" t="s">
        <v>940</v>
      </c>
      <c r="BC25" s="1025" t="s">
        <v>933</v>
      </c>
      <c r="BE25" s="1025">
        <v>2023</v>
      </c>
      <c r="BH25" s="975" t="s">
        <v>866</v>
      </c>
      <c r="BJ25" s="975" t="s">
        <v>890</v>
      </c>
      <c r="BL25" s="975" t="s">
        <v>890</v>
      </c>
      <c r="BQ25" s="1203">
        <v>4190070</v>
      </c>
      <c r="BR25" s="975" t="s">
        <v>941</v>
      </c>
      <c r="BS25" s="1346"/>
      <c r="BT25" s="1203">
        <v>4189677</v>
      </c>
      <c r="BU25" s="975" t="s">
        <v>942</v>
      </c>
      <c r="BV25" s="977"/>
      <c r="BW25" s="977"/>
    </row>
    <row r="26" spans="1:82" ht="11.25" customHeight="1">
      <c r="A26" s="981" t="s">
        <v>943</v>
      </c>
      <c r="B26" s="982">
        <v>2024</v>
      </c>
      <c r="J26" s="1647" t="s">
        <v>944</v>
      </c>
      <c r="AX26" s="1025" t="s">
        <v>945</v>
      </c>
      <c r="AZ26" s="1025" t="s">
        <v>809</v>
      </c>
      <c r="BB26" s="1025" t="s">
        <v>946</v>
      </c>
      <c r="BC26" s="1025" t="s">
        <v>933</v>
      </c>
      <c r="BE26" s="1025">
        <v>2024</v>
      </c>
      <c r="BH26" s="975" t="s">
        <v>876</v>
      </c>
      <c r="BJ26" s="975" t="s">
        <v>827</v>
      </c>
      <c r="BL26" s="975" t="s">
        <v>827</v>
      </c>
      <c r="BQ26" s="1203">
        <v>4190071</v>
      </c>
      <c r="BR26" s="975" t="s">
        <v>947</v>
      </c>
      <c r="BS26" s="1346"/>
      <c r="BV26" s="977"/>
      <c r="BW26" s="977"/>
    </row>
    <row r="27" spans="1:82" ht="11.25" customHeight="1">
      <c r="A27" s="981" t="s">
        <v>948</v>
      </c>
      <c r="B27" s="982">
        <v>2025</v>
      </c>
      <c r="J27" s="94" t="s">
        <v>121</v>
      </c>
      <c r="AX27" s="1025" t="s">
        <v>949</v>
      </c>
      <c r="BB27" s="1025" t="s">
        <v>950</v>
      </c>
      <c r="BC27" s="1025" t="s">
        <v>933</v>
      </c>
      <c r="BE27" s="1025">
        <v>2025</v>
      </c>
      <c r="BH27" s="977" t="s">
        <v>18</v>
      </c>
      <c r="BJ27" s="975" t="s">
        <v>834</v>
      </c>
      <c r="BL27" s="975" t="s">
        <v>834</v>
      </c>
      <c r="BN27" s="977" t="s">
        <v>18</v>
      </c>
      <c r="BQ27" s="1203">
        <v>4190072</v>
      </c>
      <c r="BR27" s="975" t="s">
        <v>951</v>
      </c>
      <c r="BS27" s="1346"/>
      <c r="BV27" s="977"/>
      <c r="BW27" s="977"/>
    </row>
    <row r="28" spans="1:82" ht="11.25" customHeight="1">
      <c r="A28" s="981" t="s">
        <v>952</v>
      </c>
      <c r="D28" s="1006"/>
      <c r="E28" s="1007"/>
      <c r="F28" s="1007"/>
      <c r="H28" s="1008" t="s">
        <v>953</v>
      </c>
      <c r="AX28" s="1025" t="s">
        <v>954</v>
      </c>
      <c r="AZ28" s="974" t="s">
        <v>955</v>
      </c>
      <c r="BB28" s="1025" t="s">
        <v>956</v>
      </c>
      <c r="BC28" s="1025" t="s">
        <v>957</v>
      </c>
      <c r="BE28" s="1025">
        <v>2026</v>
      </c>
      <c r="BH28" s="977" t="s">
        <v>18</v>
      </c>
      <c r="BJ28" s="975" t="s">
        <v>841</v>
      </c>
      <c r="BL28" s="975" t="s">
        <v>841</v>
      </c>
      <c r="BN28" s="977" t="s">
        <v>18</v>
      </c>
      <c r="BQ28" s="1203">
        <v>4190073</v>
      </c>
      <c r="BR28" s="975" t="s">
        <v>958</v>
      </c>
      <c r="BS28" s="1346"/>
      <c r="BV28" s="977"/>
      <c r="BW28" s="977"/>
    </row>
    <row r="29" spans="1:82" ht="11.25" customHeight="1">
      <c r="A29" s="981" t="s">
        <v>959</v>
      </c>
      <c r="D29" s="1009" t="s">
        <v>960</v>
      </c>
      <c r="E29" s="1010" t="str">
        <f>IF(TEMPLATE_GROUP="","",INDEX(StartDateList,MATCH(TEMPLATE_GROUP,CodeTemplateList,0),1))</f>
        <v>01.01.2024</v>
      </c>
      <c r="F29" s="1010" t="str">
        <f>IF(TEMPLATE_GROUP="","",INDEX(EndDateList,MATCH(TEMPLATE_GROUP,CodeTemplateList,0),1))</f>
        <v>31.03.2024</v>
      </c>
      <c r="H29" s="1011" t="s">
        <v>961</v>
      </c>
      <c r="AX29" s="1025" t="s">
        <v>962</v>
      </c>
      <c r="AZ29" s="1025" t="s">
        <v>607</v>
      </c>
      <c r="BB29" s="1025" t="s">
        <v>809</v>
      </c>
      <c r="BC29" s="997"/>
      <c r="BE29" s="1025">
        <v>2027</v>
      </c>
      <c r="BJ29" s="975" t="s">
        <v>850</v>
      </c>
      <c r="BL29" s="975" t="s">
        <v>850</v>
      </c>
    </row>
    <row r="30" spans="1:82" ht="11.25" customHeight="1">
      <c r="A30" s="981" t="s">
        <v>963</v>
      </c>
      <c r="D30" s="1012"/>
      <c r="E30" s="1013"/>
      <c r="F30" s="1013"/>
      <c r="AX30" s="1025" t="s">
        <v>964</v>
      </c>
      <c r="AZ30" s="1025" t="s">
        <v>636</v>
      </c>
      <c r="BE30" s="1025">
        <v>2028</v>
      </c>
      <c r="BJ30" s="975" t="s">
        <v>965</v>
      </c>
      <c r="BL30" s="975" t="s">
        <v>965</v>
      </c>
    </row>
    <row r="31" spans="1:82" ht="12.75" customHeight="1">
      <c r="A31" s="981" t="s">
        <v>966</v>
      </c>
      <c r="D31" s="1006"/>
      <c r="E31" s="1007"/>
      <c r="F31" s="1007"/>
      <c r="H31" s="1014"/>
      <c r="AX31" s="1025" t="s">
        <v>967</v>
      </c>
      <c r="AZ31" s="1025" t="s">
        <v>968</v>
      </c>
      <c r="BE31" s="1025">
        <v>2029</v>
      </c>
      <c r="BJ31" s="975" t="s">
        <v>969</v>
      </c>
      <c r="BL31" s="975" t="s">
        <v>969</v>
      </c>
    </row>
    <row r="32" spans="1:82" ht="11.25" customHeight="1">
      <c r="A32" s="981" t="s">
        <v>970</v>
      </c>
      <c r="D32" s="1009" t="s">
        <v>971</v>
      </c>
      <c r="E32" s="1010" t="str">
        <f>IF(TEMPLATE_GROUP="","",INDEX(StartDateList,MATCH(TEMPLATE_GROUP,CodeTemplateList,0),1))</f>
        <v>01.01.2024</v>
      </c>
      <c r="F32" s="1010" t="str">
        <f>IF(TEMPLATE_GROUP="","",INDEX(EndDateList,MATCH(TEMPLATE_GROUP,CodeTemplateList,0),1))</f>
        <v>31.03.2024</v>
      </c>
      <c r="H32" s="1015" t="s">
        <v>972</v>
      </c>
      <c r="O32" s="981" t="s">
        <v>605</v>
      </c>
      <c r="AX32" s="1025" t="s">
        <v>973</v>
      </c>
      <c r="AZ32" s="1025" t="s">
        <v>704</v>
      </c>
      <c r="BE32" s="1025">
        <v>2030</v>
      </c>
      <c r="BJ32" s="975" t="s">
        <v>859</v>
      </c>
      <c r="BL32" s="975" t="s">
        <v>859</v>
      </c>
    </row>
    <row r="33" spans="1:66" ht="11.25" customHeight="1">
      <c r="A33" s="981" t="s">
        <v>974</v>
      </c>
      <c r="O33" s="981" t="s">
        <v>633</v>
      </c>
      <c r="AX33" s="1025" t="s">
        <v>975</v>
      </c>
      <c r="AZ33" s="1025" t="s">
        <v>606</v>
      </c>
      <c r="BE33" s="1025">
        <v>2031</v>
      </c>
      <c r="BJ33" s="975" t="s">
        <v>866</v>
      </c>
      <c r="BL33" s="975" t="s">
        <v>866</v>
      </c>
    </row>
    <row r="34" spans="1:66" ht="11.25" customHeight="1">
      <c r="A34" s="981" t="s">
        <v>976</v>
      </c>
      <c r="O34" s="981" t="s">
        <v>669</v>
      </c>
      <c r="AX34" s="1025" t="s">
        <v>977</v>
      </c>
      <c r="BE34" s="1025">
        <v>2032</v>
      </c>
      <c r="BJ34" s="975" t="s">
        <v>876</v>
      </c>
      <c r="BL34" s="975" t="s">
        <v>876</v>
      </c>
    </row>
    <row r="35" spans="1:66" ht="11.25" customHeight="1">
      <c r="A35" s="981" t="s">
        <v>978</v>
      </c>
      <c r="O35" s="981" t="s">
        <v>702</v>
      </c>
      <c r="AX35" s="1025" t="s">
        <v>979</v>
      </c>
      <c r="AZ35" s="974" t="s">
        <v>980</v>
      </c>
      <c r="BE35" s="1025">
        <v>2033</v>
      </c>
      <c r="BL35" s="975" t="s">
        <v>981</v>
      </c>
    </row>
    <row r="36" spans="1:66" ht="11.25" customHeight="1">
      <c r="A36" s="981" t="s">
        <v>982</v>
      </c>
      <c r="D36" s="1016" t="s">
        <v>983</v>
      </c>
      <c r="E36" s="1017" t="s">
        <v>984</v>
      </c>
      <c r="F36" s="1018" t="str">
        <f>INDEX(E37:E41,MATCH(TEMPLATE_SPHERE,F37:F41,0))</f>
        <v>холодного водоснабжения</v>
      </c>
      <c r="G36" s="1018" t="str">
        <f>INDEX(G37:G41,MATCH(TEMPLATE_SPHERE,F37:F41,0))</f>
        <v>холодное водоснабжение</v>
      </c>
      <c r="O36" s="981" t="s">
        <v>726</v>
      </c>
      <c r="AX36" s="1025" t="s">
        <v>985</v>
      </c>
      <c r="AZ36" s="1025" t="s">
        <v>606</v>
      </c>
      <c r="BE36" s="1025">
        <v>2034</v>
      </c>
      <c r="BL36" s="975" t="s">
        <v>986</v>
      </c>
    </row>
    <row r="37" spans="1:66" ht="11.25" customHeight="1">
      <c r="A37" s="981" t="s">
        <v>987</v>
      </c>
      <c r="E37" s="337" t="s">
        <v>988</v>
      </c>
      <c r="F37" s="1019" t="s">
        <v>595</v>
      </c>
      <c r="G37" s="337" t="s">
        <v>989</v>
      </c>
      <c r="O37" s="981" t="s">
        <v>745</v>
      </c>
      <c r="AX37" s="1025" t="s">
        <v>990</v>
      </c>
      <c r="AZ37" s="1025" t="s">
        <v>635</v>
      </c>
      <c r="BE37" s="1025">
        <v>2035</v>
      </c>
    </row>
    <row r="38" spans="1:66" ht="11.25" customHeight="1">
      <c r="A38" s="981" t="s">
        <v>991</v>
      </c>
      <c r="E38" s="337" t="s">
        <v>992</v>
      </c>
      <c r="F38" s="1020" t="s">
        <v>984</v>
      </c>
      <c r="G38" s="337" t="s">
        <v>993</v>
      </c>
      <c r="O38" s="981" t="s">
        <v>761</v>
      </c>
      <c r="AX38" s="1025" t="s">
        <v>994</v>
      </c>
      <c r="AZ38" s="1025" t="s">
        <v>670</v>
      </c>
      <c r="BE38" s="1025">
        <v>2036</v>
      </c>
      <c r="BH38" s="974" t="s">
        <v>995</v>
      </c>
      <c r="BJ38" s="974" t="s">
        <v>996</v>
      </c>
      <c r="BL38" s="974" t="s">
        <v>997</v>
      </c>
      <c r="BN38" s="974" t="s">
        <v>998</v>
      </c>
    </row>
    <row r="39" spans="1:66" ht="11.25" customHeight="1">
      <c r="A39" s="981" t="s">
        <v>999</v>
      </c>
      <c r="E39" s="337" t="s">
        <v>1000</v>
      </c>
      <c r="F39" s="1020" t="s">
        <v>597</v>
      </c>
      <c r="G39" s="337" t="s">
        <v>1001</v>
      </c>
      <c r="O39" s="981" t="s">
        <v>777</v>
      </c>
      <c r="AX39" s="1025" t="s">
        <v>1002</v>
      </c>
      <c r="AZ39" s="1025" t="s">
        <v>703</v>
      </c>
      <c r="BE39" s="1025">
        <v>2037</v>
      </c>
      <c r="BH39" s="975" t="s">
        <v>1003</v>
      </c>
      <c r="BJ39" s="1123" t="s">
        <v>1003</v>
      </c>
      <c r="BL39" s="1123" t="s">
        <v>1003</v>
      </c>
      <c r="BN39" s="975" t="s">
        <v>1004</v>
      </c>
    </row>
    <row r="40" spans="1:66" ht="11.25" customHeight="1">
      <c r="A40" s="981" t="s">
        <v>1005</v>
      </c>
      <c r="E40" s="337" t="s">
        <v>1006</v>
      </c>
      <c r="F40" s="1020" t="s">
        <v>1007</v>
      </c>
      <c r="G40" s="337" t="s">
        <v>1008</v>
      </c>
      <c r="O40" s="981" t="s">
        <v>793</v>
      </c>
      <c r="AX40" s="1025" t="s">
        <v>1009</v>
      </c>
      <c r="BE40" s="1025">
        <v>2038</v>
      </c>
      <c r="BH40" s="975" t="s">
        <v>1010</v>
      </c>
      <c r="BJ40" s="1123" t="s">
        <v>1011</v>
      </c>
      <c r="BL40" s="1123" t="s">
        <v>1011</v>
      </c>
      <c r="BN40" s="975" t="s">
        <v>1012</v>
      </c>
    </row>
    <row r="41" spans="1:66" ht="11.25" customHeight="1">
      <c r="A41" s="981" t="s">
        <v>1013</v>
      </c>
      <c r="E41" s="337" t="s">
        <v>1014</v>
      </c>
      <c r="F41" s="1020" t="s">
        <v>1015</v>
      </c>
      <c r="G41" s="337" t="s">
        <v>1014</v>
      </c>
      <c r="O41" s="981" t="s">
        <v>809</v>
      </c>
      <c r="AX41" s="1025" t="s">
        <v>1016</v>
      </c>
      <c r="AZ41" s="974" t="s">
        <v>1017</v>
      </c>
      <c r="BE41" s="1025">
        <v>2039</v>
      </c>
      <c r="BH41" s="975" t="s">
        <v>1018</v>
      </c>
      <c r="BJ41" s="1123" t="s">
        <v>1019</v>
      </c>
      <c r="BL41" s="1123" t="s">
        <v>1019</v>
      </c>
      <c r="BN41" s="975" t="s">
        <v>1020</v>
      </c>
    </row>
    <row r="42" spans="1:66" ht="11.25" customHeight="1">
      <c r="A42" s="981" t="s">
        <v>1021</v>
      </c>
      <c r="AX42" s="1025" t="s">
        <v>1022</v>
      </c>
      <c r="AZ42" s="1025" t="s">
        <v>605</v>
      </c>
      <c r="BE42" s="1025">
        <v>2040</v>
      </c>
      <c r="BH42" s="975" t="s">
        <v>1023</v>
      </c>
      <c r="BJ42" s="1123" t="s">
        <v>1024</v>
      </c>
      <c r="BL42" s="1123" t="s">
        <v>1024</v>
      </c>
      <c r="BN42" s="975" t="s">
        <v>1025</v>
      </c>
    </row>
    <row r="43" spans="1:66" ht="11.25" customHeight="1">
      <c r="A43" s="981" t="s">
        <v>1026</v>
      </c>
      <c r="AX43" s="1025" t="s">
        <v>1027</v>
      </c>
      <c r="AZ43" s="1025" t="s">
        <v>633</v>
      </c>
      <c r="BE43" s="1025">
        <v>2041</v>
      </c>
      <c r="BH43" s="975" t="s">
        <v>1028</v>
      </c>
      <c r="BJ43" s="1123" t="s">
        <v>1018</v>
      </c>
      <c r="BL43" s="1123" t="s">
        <v>1018</v>
      </c>
      <c r="BN43" s="975" t="s">
        <v>1029</v>
      </c>
    </row>
    <row r="44" spans="1:66" ht="11.25" customHeight="1">
      <c r="A44" s="981" t="s">
        <v>1030</v>
      </c>
      <c r="I44" s="712" t="s">
        <v>1031</v>
      </c>
      <c r="J44" s="996" t="s">
        <v>1032</v>
      </c>
      <c r="K44" s="996" t="s">
        <v>1033</v>
      </c>
      <c r="AX44" s="1025" t="s">
        <v>1034</v>
      </c>
      <c r="AZ44" s="1025" t="s">
        <v>669</v>
      </c>
      <c r="BE44" s="1025">
        <v>2042</v>
      </c>
      <c r="BH44" s="975" t="s">
        <v>1035</v>
      </c>
      <c r="BJ44" s="1123" t="s">
        <v>1023</v>
      </c>
      <c r="BL44" s="1123" t="s">
        <v>1023</v>
      </c>
      <c r="BN44" s="975" t="s">
        <v>1036</v>
      </c>
    </row>
    <row r="45" spans="1:66" ht="11.25" customHeight="1">
      <c r="A45" s="981" t="s">
        <v>1037</v>
      </c>
      <c r="D45" s="1016" t="s">
        <v>1038</v>
      </c>
      <c r="E45" s="1017" t="s">
        <v>1039</v>
      </c>
      <c r="F45" s="710" t="s">
        <v>1040</v>
      </c>
      <c r="G45" s="709" t="s">
        <v>1041</v>
      </c>
      <c r="H45" s="712" t="s">
        <v>1042</v>
      </c>
      <c r="I45" s="1657" t="b">
        <f>INDEX(PeriodIsEmptyList,MATCH(TEMPLATE_GROUP,CodeTemplateList,0),1)</f>
        <v>0</v>
      </c>
      <c r="J45" s="1660" t="str">
        <f>INDEX(NameTemplatesInTitleList,MATCH(TEMPLATE_GROUP,CodeTemplateList,0),1)</f>
        <v>Информация о наличии (отсутствии) технической возможности подключения к централизованной системе холодного водоснабжения, а также о регистрации и ходе реализации заявок о подключении к централизованной системе холодного водоснабжения</v>
      </c>
      <c r="K45" s="1660" t="str">
        <f>"Перечень муниципальных районов и муниципальных образований (территорий "&amp;IF(OR(TEMPLATE_GROUP="P",TEMPLATE_GROUP="R",TEMPLATE_GROUP="Q"),"действия тарифа","оказания услуг")&amp;")"</f>
        <v>Перечень муниципальных районов и муниципальных образований (территорий действия тарифа)</v>
      </c>
      <c r="AX45" s="1025" t="s">
        <v>1043</v>
      </c>
      <c r="AZ45" s="1025" t="s">
        <v>702</v>
      </c>
      <c r="BE45" s="1025">
        <v>2043</v>
      </c>
      <c r="BH45" s="975" t="s">
        <v>1044</v>
      </c>
      <c r="BJ45" s="1123" t="s">
        <v>1045</v>
      </c>
      <c r="BL45" s="1123" t="s">
        <v>1045</v>
      </c>
      <c r="BN45" s="975" t="s">
        <v>1046</v>
      </c>
    </row>
    <row r="46" spans="1:66" ht="11.25" customHeight="1">
      <c r="A46" s="981" t="s">
        <v>1047</v>
      </c>
      <c r="E46" s="337" t="s">
        <v>23</v>
      </c>
      <c r="F46" s="1019" t="s">
        <v>1048</v>
      </c>
      <c r="G46" s="1021"/>
      <c r="H46" s="1021"/>
      <c r="I46" s="1658" t="b">
        <f>IF(TITLE_DATE_FIL="",TRUE,FALSE)</f>
        <v>1</v>
      </c>
      <c r="J46" s="1661" t="str">
        <f>"Общая информация о регулируемой организации ("&amp;TEMPLATE_SPHERE_RUS&amp;")"</f>
        <v>Общая информация о регулируемой организации (холодного водоснабжения)</v>
      </c>
      <c r="K46" s="1662"/>
      <c r="AX46" s="1025" t="s">
        <v>1049</v>
      </c>
      <c r="AZ46" s="1025" t="s">
        <v>726</v>
      </c>
      <c r="BE46" s="1025">
        <v>2044</v>
      </c>
      <c r="BH46" s="975" t="s">
        <v>1020</v>
      </c>
      <c r="BJ46" s="1123" t="s">
        <v>1050</v>
      </c>
      <c r="BL46" s="1123" t="s">
        <v>1050</v>
      </c>
      <c r="BN46" s="975" t="s">
        <v>1051</v>
      </c>
    </row>
    <row r="47" spans="1:66" ht="11.25" customHeight="1">
      <c r="A47" s="981" t="s">
        <v>1052</v>
      </c>
      <c r="E47" s="337" t="s">
        <v>29</v>
      </c>
      <c r="F47" s="1020" t="s">
        <v>1039</v>
      </c>
      <c r="G47" s="1022" t="str">
        <f>IF(f_year="","",IF(LEN(f_quart)=0,"",IF(f_quart="I квартал","01.01."&amp;f_year,IF(f_quart="II квартал","01.04."&amp;f_year,(IF(f_quart="III квартал","01.07."&amp;f_year,"01.10."&amp;f_year))))))</f>
        <v>01.01.2024</v>
      </c>
      <c r="H47" s="1022" t="str">
        <f>IF(f_year="","",IF(LEN(f_quart)=0,"",IF(f_quart="I квартал","31.03."&amp;f_year,IF(f_quart="II квартал","30.06."&amp;f_year,(IF(f_quart="III квартал","30.09."&amp;f_year,"31.12."&amp;f_year))))))</f>
        <v>31.03.2024</v>
      </c>
      <c r="I47" s="1659" t="b">
        <f>IF(OR(f_year="",f_quart=""),TRUE,FALSE)</f>
        <v>0</v>
      </c>
      <c r="J47" s="1661" t="str">
        <f>"Информация о наличии (отсутствии) технической возможности подключения к централизованной системе "&amp;TEMPLATE_SPHERE_RUS&amp;", а также о регистрации и ходе реализации заявок о подключении к централизованной системе "&amp;TEMPLATE_SPHERE_RUS</f>
        <v>Информация о наличии (отсутствии) технической возможности подключения к централизованной системе холодного водоснабжения, а также о регистрации и ходе реализации заявок о подключении к централизованной системе холодного водоснабжения</v>
      </c>
      <c r="K47" s="1662"/>
      <c r="AX47" s="1025" t="s">
        <v>1053</v>
      </c>
      <c r="AZ47" s="1025" t="s">
        <v>745</v>
      </c>
      <c r="BE47" s="1025">
        <v>2045</v>
      </c>
      <c r="BH47" s="975" t="s">
        <v>1025</v>
      </c>
      <c r="BJ47" s="1123" t="s">
        <v>1054</v>
      </c>
      <c r="BL47" s="1123" t="s">
        <v>1054</v>
      </c>
      <c r="BN47" s="975" t="s">
        <v>1055</v>
      </c>
    </row>
    <row r="48" spans="1:66" ht="11.25" customHeight="1">
      <c r="A48" s="981" t="s">
        <v>1056</v>
      </c>
      <c r="E48" s="337" t="s">
        <v>1057</v>
      </c>
      <c r="F48" s="1020" t="s">
        <v>1058</v>
      </c>
      <c r="G48" s="1022" t="str">
        <f>IF(f_year="","","01.01."&amp;f_year)</f>
        <v>01.01.2024</v>
      </c>
      <c r="H48" s="1022" t="str">
        <f>IF(f_year="","","31.12."&amp;f_year)</f>
        <v>31.12.2024</v>
      </c>
      <c r="I48" s="1658" t="b">
        <f>IF(f_year="",TRUE,FALSE)</f>
        <v>0</v>
      </c>
      <c r="J48" s="1661" t="s">
        <v>1059</v>
      </c>
      <c r="K48" s="1662"/>
      <c r="AX48" s="1025" t="s">
        <v>1060</v>
      </c>
      <c r="AZ48" s="1025" t="s">
        <v>761</v>
      </c>
      <c r="BE48" s="1025">
        <v>2046</v>
      </c>
      <c r="BH48" s="975" t="s">
        <v>1029</v>
      </c>
      <c r="BJ48" s="1123" t="s">
        <v>1061</v>
      </c>
      <c r="BL48" s="1123" t="s">
        <v>1061</v>
      </c>
      <c r="BN48" s="975" t="s">
        <v>1062</v>
      </c>
    </row>
    <row r="49" spans="1:64" ht="11.25" customHeight="1">
      <c r="A49" s="981" t="s">
        <v>1063</v>
      </c>
      <c r="E49" s="337" t="s">
        <v>1064</v>
      </c>
      <c r="F49" s="1020" t="s">
        <v>1065</v>
      </c>
      <c r="G49" s="1022" t="str">
        <f>IF(f_year="","","01.01."&amp;f_year)</f>
        <v>01.01.2024</v>
      </c>
      <c r="H49" s="1022" t="str">
        <f>IF(f_year="","","31.12."&amp;f_year)</f>
        <v>31.12.2024</v>
      </c>
      <c r="I49" s="1658" t="b">
        <f>IF(f_year="",TRUE,FALSE)</f>
        <v>0</v>
      </c>
      <c r="J49" s="1661" t="str">
        <f>"Информация об условиях, на которых осуществляется поставка товаров (оказание услуг) в сфере "&amp;TEMPLATE_SPHERE_RUS</f>
        <v>Информация об условиях, на которых осуществляется поставка товаров (оказание услуг) в сфере холодного водоснабжения</v>
      </c>
      <c r="K49" s="1662"/>
      <c r="AX49" s="1025" t="s">
        <v>1066</v>
      </c>
      <c r="AZ49" s="1025" t="s">
        <v>777</v>
      </c>
      <c r="BE49" s="1025">
        <v>2047</v>
      </c>
      <c r="BH49" s="975" t="s">
        <v>1067</v>
      </c>
      <c r="BJ49" s="1123" t="s">
        <v>1068</v>
      </c>
      <c r="BL49" s="1123" t="s">
        <v>1068</v>
      </c>
    </row>
    <row r="50" spans="1:64" ht="11.25" customHeight="1">
      <c r="A50" s="981" t="s">
        <v>1069</v>
      </c>
      <c r="E50" s="337" t="s">
        <v>1070</v>
      </c>
      <c r="F50" s="1020" t="s">
        <v>1071</v>
      </c>
      <c r="G50" s="1022" t="str">
        <f>IF(f_year="","","01.01."&amp;f_year)</f>
        <v>01.01.2024</v>
      </c>
      <c r="H50" s="1022" t="str">
        <f>IF(f_year="","","31.12."&amp;f_year)</f>
        <v>31.12.2024</v>
      </c>
      <c r="I50" s="1658" t="b">
        <f>IF(f_year="",TRUE,FALSE)</f>
        <v>0</v>
      </c>
      <c r="J50" s="1661" t="str">
        <f>"Информация об инвестиционных программах регулируемой организации в области "&amp;TEMPLATE_SPHERE_RUS</f>
        <v>Информация об инвестиционных программах регулируемой организации в области холодного водоснабжения</v>
      </c>
      <c r="K50" s="1662"/>
      <c r="AX50" s="1025" t="s">
        <v>1072</v>
      </c>
      <c r="AZ50" s="1025" t="s">
        <v>793</v>
      </c>
      <c r="BE50" s="1025">
        <v>2048</v>
      </c>
      <c r="BH50" s="975" t="s">
        <v>1036</v>
      </c>
      <c r="BJ50" s="1123" t="s">
        <v>1073</v>
      </c>
      <c r="BL50" s="1123" t="s">
        <v>1073</v>
      </c>
    </row>
    <row r="51" spans="1:64" ht="11.25" customHeight="1">
      <c r="A51" s="981" t="s">
        <v>1074</v>
      </c>
      <c r="E51" s="337" t="s">
        <v>1075</v>
      </c>
      <c r="F51" s="1020" t="s">
        <v>1076</v>
      </c>
      <c r="G51" s="1022" t="str">
        <f>IF(TITLE_PERIOD_START="","",TITLE_PERIOD_START)</f>
        <v/>
      </c>
      <c r="H51" s="1022" t="str">
        <f>IF(TITLE_PERIOD_END="","",TITLE_PERIOD_END)</f>
        <v/>
      </c>
      <c r="I51" s="1659" t="b">
        <f>IF(OR(TITLE_PERIOD_START="",TITLE_PERIOD_END=""),TRUE,FALSE)</f>
        <v>1</v>
      </c>
      <c r="J51" s="1661" t="str">
        <f>"Предложение регулируемой организации об установлении тарифов в сфере "&amp;TEMPLATE_SPHERE_RUS&amp;", информация о способах приобретения, стоимости и объемах товаров, необходимых для производства регулируемых товаров и (или) оказания регулируемых услуг"</f>
        <v>Предложение регулируемой организации об установлении тарифов в сфере холодного водоснабжения, информация о способах приобретения, стоимости и объемах товаров, необходимых для производства регулируемых товаров и (или) оказания регулируемых услуг</v>
      </c>
      <c r="K51" s="1662"/>
      <c r="AX51" s="1025" t="s">
        <v>1077</v>
      </c>
      <c r="AZ51" s="1025" t="s">
        <v>809</v>
      </c>
      <c r="BE51" s="1025">
        <v>2049</v>
      </c>
      <c r="BH51" s="975" t="s">
        <v>1046</v>
      </c>
      <c r="BJ51" s="1123" t="s">
        <v>1078</v>
      </c>
      <c r="BL51" s="1123" t="s">
        <v>1078</v>
      </c>
    </row>
    <row r="52" spans="1:64" ht="11.25" customHeight="1">
      <c r="A52" s="981" t="s">
        <v>1079</v>
      </c>
      <c r="E52" s="337" t="s">
        <v>1080</v>
      </c>
      <c r="F52" s="1020" t="s">
        <v>1081</v>
      </c>
      <c r="G52" s="1022" t="str">
        <f>IF(TITLE_PERIOD_START="","",TITLE_PERIOD_START)</f>
        <v/>
      </c>
      <c r="H52" s="1022" t="str">
        <f>IF(TITLE_PERIOD_END="","",TITLE_PERIOD_END)</f>
        <v/>
      </c>
      <c r="I52" s="1659" t="b">
        <f>IF(OR(TITLE_PERIOD_START="",TITLE_PERIOD_END=""),TRUE,FALSE)</f>
        <v>1</v>
      </c>
      <c r="J52" s="1661" t="str">
        <f>"Показатели, подлежащие раскрытию в сфере "&amp;TEMPLATE_SPHERE_RUS&amp;" (цены и тарифы)"</f>
        <v>Показатели, подлежащие раскрытию в сфере холодного водоснабжения (цены и тарифы)</v>
      </c>
      <c r="K52" s="1662"/>
      <c r="AX52" s="1025" t="s">
        <v>1082</v>
      </c>
      <c r="AZ52" s="1025" t="s">
        <v>606</v>
      </c>
      <c r="BE52" s="1025">
        <v>2050</v>
      </c>
      <c r="BH52" s="975" t="s">
        <v>1051</v>
      </c>
      <c r="BJ52" s="1123" t="s">
        <v>1020</v>
      </c>
      <c r="BL52" s="1123" t="s">
        <v>1020</v>
      </c>
    </row>
    <row r="53" spans="1:64" ht="11.25" customHeight="1">
      <c r="A53" s="981" t="s">
        <v>1083</v>
      </c>
      <c r="E53" s="337" t="s">
        <v>1084</v>
      </c>
      <c r="F53" s="1020" t="s">
        <v>1084</v>
      </c>
      <c r="G53" s="1022" t="str">
        <f>IF(f_year="","","01.01."&amp;f_year)</f>
        <v>01.01.2024</v>
      </c>
      <c r="H53" s="1022" t="str">
        <f>IF(f_year="","","31.12."&amp;f_year)</f>
        <v>31.12.2024</v>
      </c>
      <c r="I53" s="1658" t="b">
        <f>IF(AND(f_year="",TITLE_DATE_FIL=""),TRUE,FALSE)</f>
        <v>0</v>
      </c>
      <c r="J53" s="1661" t="s">
        <v>1085</v>
      </c>
      <c r="K53" s="1662"/>
      <c r="AX53" s="1025" t="s">
        <v>1086</v>
      </c>
      <c r="BE53" s="1025">
        <v>2051</v>
      </c>
      <c r="BH53" s="975" t="s">
        <v>1055</v>
      </c>
      <c r="BJ53" s="1123" t="s">
        <v>1025</v>
      </c>
      <c r="BL53" s="1123" t="s">
        <v>1025</v>
      </c>
    </row>
    <row r="54" spans="1:64" ht="11.25" customHeight="1">
      <c r="A54" s="981" t="s">
        <v>1087</v>
      </c>
      <c r="AX54" s="1025" t="s">
        <v>1088</v>
      </c>
      <c r="AZ54" s="974" t="s">
        <v>1089</v>
      </c>
      <c r="BE54" s="1025">
        <v>2052</v>
      </c>
      <c r="BH54" s="975" t="s">
        <v>1062</v>
      </c>
      <c r="BJ54" s="1123" t="s">
        <v>1029</v>
      </c>
      <c r="BL54" s="1123" t="s">
        <v>1029</v>
      </c>
    </row>
    <row r="55" spans="1:64" ht="11.25" customHeight="1">
      <c r="A55" s="981" t="s">
        <v>1090</v>
      </c>
      <c r="AX55" s="1025" t="s">
        <v>1091</v>
      </c>
      <c r="AZ55" s="1025" t="s">
        <v>608</v>
      </c>
      <c r="BE55" s="1025">
        <v>2053</v>
      </c>
      <c r="BH55" s="977" t="s">
        <v>18</v>
      </c>
      <c r="BJ55" s="1123" t="s">
        <v>1067</v>
      </c>
      <c r="BL55" s="1123" t="s">
        <v>1067</v>
      </c>
    </row>
    <row r="56" spans="1:64" ht="11.25" customHeight="1">
      <c r="A56" s="981" t="s">
        <v>1092</v>
      </c>
      <c r="D56" s="1024" t="s">
        <v>1093</v>
      </c>
      <c r="E56" s="1001">
        <v>55</v>
      </c>
      <c r="F56" s="981" t="s">
        <v>1094</v>
      </c>
      <c r="AX56" s="1025" t="s">
        <v>1095</v>
      </c>
      <c r="AZ56" s="1025" t="s">
        <v>637</v>
      </c>
      <c r="BE56" s="1025">
        <v>2054</v>
      </c>
      <c r="BH56" s="977" t="s">
        <v>18</v>
      </c>
      <c r="BJ56" s="1123" t="s">
        <v>1036</v>
      </c>
      <c r="BL56" s="1123" t="s">
        <v>1036</v>
      </c>
    </row>
    <row r="57" spans="1:64" ht="11.25" customHeight="1">
      <c r="A57" s="981" t="s">
        <v>1096</v>
      </c>
      <c r="D57" s="1024" t="s">
        <v>1097</v>
      </c>
      <c r="E57" s="1001">
        <v>67</v>
      </c>
      <c r="F57" s="981" t="s">
        <v>1094</v>
      </c>
      <c r="AX57" s="1025" t="s">
        <v>1098</v>
      </c>
      <c r="AZ57" s="1025" t="s">
        <v>672</v>
      </c>
      <c r="BE57" s="1025">
        <v>2055</v>
      </c>
      <c r="BJ57" s="1123" t="s">
        <v>1046</v>
      </c>
      <c r="BL57" s="1123" t="s">
        <v>1046</v>
      </c>
    </row>
    <row r="58" spans="1:64" ht="11.25" customHeight="1">
      <c r="A58" s="981" t="s">
        <v>1099</v>
      </c>
      <c r="D58" s="1024" t="s">
        <v>1100</v>
      </c>
      <c r="E58" s="1001">
        <v>44</v>
      </c>
      <c r="F58" s="981" t="s">
        <v>1094</v>
      </c>
      <c r="AX58" s="1025" t="s">
        <v>1101</v>
      </c>
      <c r="BE58" s="1025">
        <v>2056</v>
      </c>
      <c r="BJ58" s="1123" t="s">
        <v>1051</v>
      </c>
      <c r="BL58" s="1123" t="s">
        <v>1051</v>
      </c>
    </row>
    <row r="59" spans="1:64" ht="11.25" customHeight="1">
      <c r="A59" s="981" t="s">
        <v>1102</v>
      </c>
      <c r="D59" s="1024" t="s">
        <v>136</v>
      </c>
      <c r="E59" s="1001" t="s">
        <v>907</v>
      </c>
      <c r="F59" s="981" t="s">
        <v>1103</v>
      </c>
      <c r="AX59" s="1025" t="s">
        <v>1104</v>
      </c>
      <c r="AZ59" s="974" t="s">
        <v>1105</v>
      </c>
      <c r="BE59" s="1025">
        <v>2057</v>
      </c>
      <c r="BJ59" s="1123" t="s">
        <v>1055</v>
      </c>
      <c r="BL59" s="1123" t="s">
        <v>1055</v>
      </c>
    </row>
    <row r="60" spans="1:64" ht="11.25" customHeight="1">
      <c r="A60" s="981" t="s">
        <v>1106</v>
      </c>
      <c r="D60" s="1024" t="s">
        <v>1107</v>
      </c>
      <c r="E60" s="1001" t="s">
        <v>907</v>
      </c>
      <c r="F60" s="981" t="s">
        <v>1103</v>
      </c>
      <c r="AX60" s="1025" t="s">
        <v>1108</v>
      </c>
      <c r="AZ60" s="1025" t="s">
        <v>609</v>
      </c>
      <c r="BE60" s="1025">
        <v>2058</v>
      </c>
      <c r="BJ60" s="1123" t="s">
        <v>1062</v>
      </c>
      <c r="BL60" s="1123" t="s">
        <v>1062</v>
      </c>
    </row>
    <row r="61" spans="1:64" ht="11.25" customHeight="1">
      <c r="A61" s="981" t="s">
        <v>1109</v>
      </c>
      <c r="D61" s="1024" t="s">
        <v>1110</v>
      </c>
      <c r="E61" s="1001">
        <v>26</v>
      </c>
      <c r="F61" s="981" t="s">
        <v>1103</v>
      </c>
      <c r="AX61" s="1025" t="s">
        <v>1111</v>
      </c>
      <c r="AZ61" s="1025" t="s">
        <v>638</v>
      </c>
      <c r="BE61" s="1025">
        <v>2059</v>
      </c>
      <c r="BL61" s="1123" t="s">
        <v>1112</v>
      </c>
    </row>
    <row r="62" spans="1:64" ht="11.25" customHeight="1">
      <c r="A62" s="981" t="s">
        <v>1113</v>
      </c>
      <c r="D62" s="1024" t="s">
        <v>135</v>
      </c>
      <c r="E62" s="1001">
        <v>30</v>
      </c>
      <c r="F62" s="981" t="s">
        <v>1103</v>
      </c>
      <c r="AZ62" s="1025" t="s">
        <v>673</v>
      </c>
      <c r="BE62" s="1025">
        <v>2060</v>
      </c>
      <c r="BL62" s="1123" t="s">
        <v>1114</v>
      </c>
    </row>
    <row r="63" spans="1:64" ht="11.25" customHeight="1">
      <c r="A63" s="981" t="s">
        <v>1115</v>
      </c>
      <c r="D63" s="1024" t="s">
        <v>1116</v>
      </c>
      <c r="E63" s="1001">
        <v>30</v>
      </c>
      <c r="F63" s="981" t="s">
        <v>1103</v>
      </c>
      <c r="AZ63" s="1025" t="s">
        <v>705</v>
      </c>
      <c r="BE63" s="1025">
        <v>2061</v>
      </c>
    </row>
    <row r="64" spans="1:64" ht="11.25" customHeight="1">
      <c r="A64" s="981" t="s">
        <v>1117</v>
      </c>
      <c r="D64" s="1024" t="s">
        <v>1118</v>
      </c>
      <c r="E64" s="1001">
        <v>30</v>
      </c>
      <c r="F64" s="981" t="s">
        <v>1103</v>
      </c>
      <c r="AZ64" s="1025" t="s">
        <v>727</v>
      </c>
      <c r="BE64" s="1025">
        <v>2062</v>
      </c>
    </row>
    <row r="65" spans="1:66" ht="11.25" customHeight="1">
      <c r="A65" s="981" t="s">
        <v>1119</v>
      </c>
      <c r="D65" s="981"/>
      <c r="BE65" s="1025">
        <v>2063</v>
      </c>
    </row>
    <row r="66" spans="1:66" ht="11.25" customHeight="1">
      <c r="A66" s="981" t="s">
        <v>1120</v>
      </c>
      <c r="AZ66" s="974" t="s">
        <v>1121</v>
      </c>
      <c r="BE66" s="1025">
        <v>2064</v>
      </c>
    </row>
    <row r="67" spans="1:66" ht="11.25" customHeight="1">
      <c r="A67" s="981" t="s">
        <v>1122</v>
      </c>
      <c r="AZ67" s="1025" t="s">
        <v>610</v>
      </c>
      <c r="BE67" s="1025">
        <v>2065</v>
      </c>
    </row>
    <row r="68" spans="1:66" ht="11.25" customHeight="1">
      <c r="A68" s="981" t="s">
        <v>1123</v>
      </c>
      <c r="AZ68" s="1025" t="s">
        <v>639</v>
      </c>
      <c r="BE68" s="1025">
        <v>2066</v>
      </c>
      <c r="BH68" s="974" t="s">
        <v>1124</v>
      </c>
      <c r="BJ68" s="974" t="s">
        <v>1125</v>
      </c>
      <c r="BL68" s="974" t="s">
        <v>1126</v>
      </c>
      <c r="BN68" s="974" t="s">
        <v>1127</v>
      </c>
    </row>
    <row r="69" spans="1:66" ht="11.25" customHeight="1">
      <c r="A69" s="981" t="s">
        <v>1128</v>
      </c>
      <c r="AZ69" s="1025" t="s">
        <v>674</v>
      </c>
      <c r="BE69" s="1025">
        <v>2067</v>
      </c>
      <c r="BH69" s="975" t="s">
        <v>1129</v>
      </c>
      <c r="BI69" s="1023" t="s">
        <v>109</v>
      </c>
      <c r="BJ69" s="975" t="s">
        <v>1130</v>
      </c>
      <c r="BK69" s="1023" t="s">
        <v>109</v>
      </c>
      <c r="BL69" s="975" t="s">
        <v>1131</v>
      </c>
      <c r="BN69" s="975" t="s">
        <v>1132</v>
      </c>
    </row>
    <row r="70" spans="1:66" ht="11.25" customHeight="1">
      <c r="A70" s="981" t="s">
        <v>1133</v>
      </c>
      <c r="AZ70" s="1025" t="s">
        <v>706</v>
      </c>
      <c r="BE70" s="1025">
        <v>2068</v>
      </c>
      <c r="BH70" s="975" t="s">
        <v>1134</v>
      </c>
      <c r="BJ70" s="975" t="s">
        <v>1135</v>
      </c>
      <c r="BL70" s="975" t="s">
        <v>1136</v>
      </c>
      <c r="BN70" s="975" t="s">
        <v>1137</v>
      </c>
    </row>
    <row r="71" spans="1:66" ht="11.25" customHeight="1">
      <c r="A71" s="981" t="s">
        <v>1138</v>
      </c>
      <c r="AZ71" s="1025" t="s">
        <v>708</v>
      </c>
      <c r="BE71" s="1025">
        <v>2069</v>
      </c>
      <c r="BH71" s="975" t="s">
        <v>1139</v>
      </c>
      <c r="BI71" s="1023" t="s">
        <v>90</v>
      </c>
      <c r="BJ71" s="975" t="s">
        <v>1140</v>
      </c>
      <c r="BK71" s="1023" t="s">
        <v>90</v>
      </c>
      <c r="BL71" s="975" t="s">
        <v>1141</v>
      </c>
      <c r="BN71" s="975" t="s">
        <v>1142</v>
      </c>
    </row>
    <row r="72" spans="1:66" ht="11.25" customHeight="1">
      <c r="A72" s="981" t="s">
        <v>1143</v>
      </c>
      <c r="AZ72" s="1025" t="s">
        <v>57</v>
      </c>
      <c r="BE72" s="1025">
        <v>2070</v>
      </c>
      <c r="BH72" s="975" t="s">
        <v>1144</v>
      </c>
      <c r="BJ72" s="975" t="s">
        <v>1144</v>
      </c>
      <c r="BL72" s="975" t="s">
        <v>1144</v>
      </c>
      <c r="BN72" s="975" t="s">
        <v>1145</v>
      </c>
    </row>
    <row r="73" spans="1:66" ht="11.25" customHeight="1">
      <c r="A73" s="981" t="s">
        <v>1146</v>
      </c>
      <c r="BH73" s="975" t="s">
        <v>1147</v>
      </c>
      <c r="BI73" s="1023" t="s">
        <v>111</v>
      </c>
      <c r="BJ73" s="975" t="s">
        <v>1148</v>
      </c>
      <c r="BK73" s="1023" t="s">
        <v>111</v>
      </c>
      <c r="BL73" s="975" t="s">
        <v>1149</v>
      </c>
      <c r="BN73" s="975" t="s">
        <v>1150</v>
      </c>
    </row>
    <row r="74" spans="1:66" ht="11.25" customHeight="1">
      <c r="A74" s="981" t="s">
        <v>1151</v>
      </c>
      <c r="BH74" s="975" t="s">
        <v>1152</v>
      </c>
      <c r="BJ74" s="975" t="s">
        <v>1153</v>
      </c>
      <c r="BL74" s="975" t="s">
        <v>1154</v>
      </c>
      <c r="BN74" s="975" t="s">
        <v>1155</v>
      </c>
    </row>
    <row r="75" spans="1:66" ht="11.25" customHeight="1">
      <c r="A75" s="981" t="s">
        <v>1156</v>
      </c>
      <c r="AZ75" s="974" t="s">
        <v>1157</v>
      </c>
      <c r="BH75" s="975" t="s">
        <v>1158</v>
      </c>
      <c r="BJ75" s="975" t="s">
        <v>1158</v>
      </c>
      <c r="BL75" s="975" t="s">
        <v>1158</v>
      </c>
    </row>
    <row r="76" spans="1:66" ht="11.25" customHeight="1">
      <c r="A76" s="981" t="s">
        <v>1159</v>
      </c>
      <c r="AZ76" s="1025" t="s">
        <v>619</v>
      </c>
      <c r="BH76" s="975" t="s">
        <v>1160</v>
      </c>
      <c r="BJ76" s="975" t="s">
        <v>1161</v>
      </c>
      <c r="BL76" s="975" t="s">
        <v>1162</v>
      </c>
    </row>
    <row r="77" spans="1:66" ht="11.25" customHeight="1">
      <c r="A77" s="981" t="s">
        <v>1163</v>
      </c>
      <c r="AZ77" s="1025" t="s">
        <v>649</v>
      </c>
    </row>
    <row r="78" spans="1:66" ht="11.25" customHeight="1">
      <c r="A78" s="981" t="s">
        <v>1164</v>
      </c>
      <c r="AZ78" s="1025" t="s">
        <v>681</v>
      </c>
    </row>
    <row r="79" spans="1:66" ht="11.25" customHeight="1">
      <c r="A79" s="981" t="s">
        <v>1165</v>
      </c>
      <c r="AZ79" s="1025" t="s">
        <v>712</v>
      </c>
      <c r="BH79" s="974" t="s">
        <v>1166</v>
      </c>
      <c r="BJ79" s="974" t="s">
        <v>1167</v>
      </c>
      <c r="BL79" s="974" t="s">
        <v>1168</v>
      </c>
    </row>
    <row r="80" spans="1:66" ht="11.25" customHeight="1">
      <c r="A80" s="981" t="s">
        <v>1169</v>
      </c>
      <c r="AZ80" s="1025" t="s">
        <v>732</v>
      </c>
      <c r="BH80" s="975" t="s">
        <v>1170</v>
      </c>
      <c r="BJ80" s="975" t="s">
        <v>1171</v>
      </c>
      <c r="BL80" s="975" t="s">
        <v>1172</v>
      </c>
    </row>
    <row r="81" spans="1:66" ht="11.25" customHeight="1">
      <c r="A81" s="981" t="s">
        <v>1173</v>
      </c>
      <c r="AZ81" s="1025" t="s">
        <v>749</v>
      </c>
      <c r="BH81" s="975" t="s">
        <v>1174</v>
      </c>
      <c r="BJ81" s="975" t="s">
        <v>1175</v>
      </c>
      <c r="BL81" s="975" t="s">
        <v>1176</v>
      </c>
    </row>
    <row r="82" spans="1:66" ht="11.25" customHeight="1">
      <c r="A82" s="981" t="s">
        <v>1177</v>
      </c>
      <c r="AZ82" s="1025" t="s">
        <v>763</v>
      </c>
      <c r="BH82" s="975" t="s">
        <v>1178</v>
      </c>
      <c r="BJ82" s="975" t="s">
        <v>1179</v>
      </c>
      <c r="BL82" s="975" t="s">
        <v>1180</v>
      </c>
    </row>
    <row r="83" spans="1:66" ht="11.25" customHeight="1">
      <c r="A83" s="981" t="s">
        <v>1181</v>
      </c>
      <c r="BH83" s="975" t="s">
        <v>1182</v>
      </c>
      <c r="BJ83" s="975" t="s">
        <v>1183</v>
      </c>
      <c r="BL83" s="975" t="s">
        <v>1184</v>
      </c>
    </row>
    <row r="84" spans="1:66" ht="11.25" customHeight="1">
      <c r="A84" s="981" t="s">
        <v>1185</v>
      </c>
      <c r="AZ84" s="974" t="s">
        <v>1186</v>
      </c>
    </row>
    <row r="85" spans="1:66" ht="11.25" customHeight="1">
      <c r="A85" s="981" t="s">
        <v>1187</v>
      </c>
      <c r="AZ85" s="1025" t="s">
        <v>1188</v>
      </c>
    </row>
    <row r="86" spans="1:66" ht="11.25" customHeight="1">
      <c r="A86" s="981" t="s">
        <v>1189</v>
      </c>
      <c r="AZ86" s="1025" t="s">
        <v>1190</v>
      </c>
      <c r="BH86" s="974" t="s">
        <v>1191</v>
      </c>
      <c r="BJ86" s="974" t="s">
        <v>1192</v>
      </c>
      <c r="BL86" s="974" t="s">
        <v>1193</v>
      </c>
    </row>
    <row r="87" spans="1:66" ht="11.25" customHeight="1">
      <c r="A87" s="981" t="s">
        <v>1194</v>
      </c>
      <c r="AZ87" s="1025" t="s">
        <v>1195</v>
      </c>
      <c r="BH87" s="975" t="s">
        <v>1196</v>
      </c>
      <c r="BJ87" s="975" t="s">
        <v>1197</v>
      </c>
      <c r="BL87" s="975" t="s">
        <v>1198</v>
      </c>
    </row>
    <row r="88" spans="1:66" ht="11.25" customHeight="1">
      <c r="AZ88"/>
      <c r="BH88" s="975" t="s">
        <v>1199</v>
      </c>
      <c r="BJ88" s="975" t="s">
        <v>1200</v>
      </c>
      <c r="BL88" s="975" t="s">
        <v>1201</v>
      </c>
    </row>
    <row r="89" spans="1:66" ht="11.25" customHeight="1">
      <c r="AZ89" s="974" t="s">
        <v>1202</v>
      </c>
    </row>
    <row r="90" spans="1:66" ht="11.25" customHeight="1">
      <c r="AZ90" s="1025" t="s">
        <v>1071</v>
      </c>
    </row>
    <row r="91" spans="1:66" ht="11.25" customHeight="1">
      <c r="AZ91" s="1025" t="s">
        <v>1203</v>
      </c>
      <c r="BH91" s="974" t="s">
        <v>1204</v>
      </c>
      <c r="BJ91" s="974" t="s">
        <v>1205</v>
      </c>
      <c r="BL91" s="974" t="s">
        <v>1206</v>
      </c>
    </row>
    <row r="92" spans="1:66" ht="11.25" customHeight="1">
      <c r="AZ92" s="1025" t="s">
        <v>1207</v>
      </c>
      <c r="BH92" s="975" t="s">
        <v>1208</v>
      </c>
      <c r="BJ92" s="975" t="s">
        <v>1209</v>
      </c>
      <c r="BL92" s="975" t="s">
        <v>1210</v>
      </c>
    </row>
    <row r="93" spans="1:66" ht="11.25" customHeight="1">
      <c r="AZ93" s="1025" t="s">
        <v>1211</v>
      </c>
      <c r="BH93" s="975" t="s">
        <v>1212</v>
      </c>
      <c r="BJ93" s="975" t="s">
        <v>1213</v>
      </c>
      <c r="BL93" s="975" t="s">
        <v>1214</v>
      </c>
    </row>
    <row r="94" spans="1:66" ht="11.25" customHeight="1">
      <c r="AZ94" s="1025" t="s">
        <v>1215</v>
      </c>
    </row>
    <row r="96" spans="1:66" ht="11.25" customHeight="1">
      <c r="AZ96" s="974" t="s">
        <v>1216</v>
      </c>
      <c r="BH96" s="974" t="s">
        <v>1217</v>
      </c>
      <c r="BJ96" s="974" t="s">
        <v>1218</v>
      </c>
      <c r="BL96" s="974" t="s">
        <v>1219</v>
      </c>
      <c r="BN96" s="974" t="s">
        <v>1220</v>
      </c>
    </row>
    <row r="97" spans="52:66" ht="11.25" customHeight="1">
      <c r="AZ97" s="1025" t="s">
        <v>1221</v>
      </c>
      <c r="BH97" s="975" t="s">
        <v>1222</v>
      </c>
      <c r="BJ97" s="975" t="s">
        <v>1223</v>
      </c>
      <c r="BL97" s="975" t="s">
        <v>1224</v>
      </c>
      <c r="BN97" s="975" t="s">
        <v>1225</v>
      </c>
    </row>
    <row r="98" spans="52:66" ht="11.25" customHeight="1">
      <c r="AZ98" s="1025" t="s">
        <v>1226</v>
      </c>
      <c r="BH98" s="975" t="s">
        <v>1227</v>
      </c>
      <c r="BJ98" s="975" t="s">
        <v>1228</v>
      </c>
      <c r="BL98" s="975" t="s">
        <v>1229</v>
      </c>
      <c r="BN98" s="975" t="s">
        <v>1230</v>
      </c>
    </row>
    <row r="99" spans="52:66" ht="11.25" customHeight="1">
      <c r="AZ99" s="1025" t="s">
        <v>1231</v>
      </c>
      <c r="BH99" s="975" t="s">
        <v>1232</v>
      </c>
      <c r="BJ99" s="975" t="s">
        <v>1233</v>
      </c>
      <c r="BL99" s="975" t="s">
        <v>1234</v>
      </c>
      <c r="BN99" s="975" t="s">
        <v>1235</v>
      </c>
    </row>
    <row r="100" spans="52:66" ht="11.25" customHeight="1">
      <c r="BJ100" s="975" t="s">
        <v>809</v>
      </c>
      <c r="BL100" s="975" t="s">
        <v>809</v>
      </c>
      <c r="BN100" s="975" t="s">
        <v>1236</v>
      </c>
    </row>
    <row r="101" spans="52:66" ht="11.25" customHeight="1">
      <c r="AZ101" s="1608" t="s">
        <v>1237</v>
      </c>
      <c r="BN101" s="975" t="s">
        <v>1238</v>
      </c>
    </row>
    <row r="102" spans="52:66" ht="11.25" customHeight="1">
      <c r="AZ102" s="1025" t="s">
        <v>1239</v>
      </c>
      <c r="BN102" s="975" t="s">
        <v>1240</v>
      </c>
    </row>
    <row r="103" spans="52:66" ht="11.25" customHeight="1">
      <c r="AZ103" s="1025" t="s">
        <v>1241</v>
      </c>
      <c r="BN103" s="975" t="s">
        <v>1242</v>
      </c>
    </row>
    <row r="104" spans="52:66" ht="11.25" customHeight="1">
      <c r="AZ104" s="1025" t="s">
        <v>1243</v>
      </c>
      <c r="BN104" s="975" t="s">
        <v>1244</v>
      </c>
    </row>
    <row r="107" spans="52:66" ht="11.25" customHeight="1">
      <c r="BH107" s="974" t="s">
        <v>1245</v>
      </c>
      <c r="BJ107" s="974" t="s">
        <v>1246</v>
      </c>
      <c r="BL107" s="974" t="s">
        <v>1247</v>
      </c>
      <c r="BN107" s="974" t="s">
        <v>1248</v>
      </c>
    </row>
    <row r="108" spans="52:66" ht="11.25" customHeight="1">
      <c r="BH108" s="975" t="s">
        <v>1249</v>
      </c>
      <c r="BJ108" s="975" t="s">
        <v>1250</v>
      </c>
      <c r="BL108" s="975" t="s">
        <v>895</v>
      </c>
      <c r="BN108" s="975" t="s">
        <v>1251</v>
      </c>
    </row>
    <row r="109" spans="52:66" ht="11.25" customHeight="1">
      <c r="BH109" s="975" t="s">
        <v>1252</v>
      </c>
    </row>
    <row r="110" spans="52:66" ht="11.25" customHeight="1">
      <c r="BH110" s="975" t="s">
        <v>1252</v>
      </c>
    </row>
    <row r="114" spans="60:60" ht="11.25" customHeight="1">
      <c r="BH114" s="974" t="s">
        <v>1253</v>
      </c>
    </row>
    <row r="115" spans="60:60" ht="11.25" customHeight="1">
      <c r="BH115" s="975" t="s">
        <v>606</v>
      </c>
    </row>
    <row r="116" spans="60:60" ht="11.25" customHeight="1">
      <c r="BH116" s="975" t="s">
        <v>635</v>
      </c>
    </row>
    <row r="117" spans="60:60" ht="11.25" customHeight="1">
      <c r="BH117" s="975" t="s">
        <v>670</v>
      </c>
    </row>
    <row r="118" spans="60:60" ht="11.25" customHeight="1">
      <c r="BH118" s="975" t="s">
        <v>703</v>
      </c>
    </row>
  </sheetData>
  <sheetProtection formatColumns="0" formatRows="0" insertRows="0" deleteColumns="0" deleteRows="0" sort="0" autoFilter="0"/>
  <pageMargins left="0.75" right="0.75" top="1" bottom="1" header="0.5" footer="0.5"/>
  <pageSetup paperSize="9" orientation="portrait"/>
  <headerFooter>
    <oddHeader>&amp;L&amp;C&amp;R</oddHeader>
    <oddFooter>&amp;L&amp;C&amp;R</oddFooter>
    <evenHeader>&amp;L&amp;C&amp;R</evenHeader>
    <evenFooter>&amp;L&amp;C&amp;R</evenFooter>
  </headerFooter>
  <legacyDrawing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1:H34"/>
  <sheetViews>
    <sheetView showGridLines="0" workbookViewId="0"/>
  </sheetViews>
  <sheetFormatPr defaultColWidth="43.140625" defaultRowHeight="9" customHeight="1"/>
  <cols>
    <col min="1" max="3" width="43.140625" style="753"/>
    <col min="4" max="5" width="36.42578125" style="753" customWidth="1"/>
    <col min="6" max="8" width="36.42578125" style="893" customWidth="1"/>
  </cols>
  <sheetData>
    <row r="1" spans="1:8" ht="9" customHeight="1">
      <c r="A1" s="759" t="s">
        <v>1254</v>
      </c>
      <c r="B1" s="759"/>
      <c r="C1" s="894" t="s">
        <v>1255</v>
      </c>
      <c r="D1" s="892" t="s">
        <v>595</v>
      </c>
      <c r="E1" s="892" t="s">
        <v>984</v>
      </c>
      <c r="F1" s="892" t="s">
        <v>597</v>
      </c>
      <c r="G1" s="892" t="s">
        <v>1007</v>
      </c>
      <c r="H1" s="892" t="s">
        <v>1015</v>
      </c>
    </row>
    <row r="2" spans="1:8" ht="9" customHeight="1">
      <c r="A2" s="895" t="s">
        <v>1256</v>
      </c>
      <c r="B2" s="895"/>
      <c r="C2" s="896" t="str">
        <f>INDEX(TEMPLATE_NUMBER_FORM_LIST,MATCH(TEMPLATE_SPHERE,TEMPLATE_SPHERE_LIST,0))</f>
        <v>10</v>
      </c>
      <c r="D2" s="895" t="s">
        <v>861</v>
      </c>
      <c r="E2" s="895" t="s">
        <v>154</v>
      </c>
      <c r="F2" s="897" t="s">
        <v>154</v>
      </c>
      <c r="G2" s="895" t="s">
        <v>154</v>
      </c>
      <c r="H2" s="898"/>
    </row>
    <row r="3" spans="1:8" ht="63" customHeight="1">
      <c r="A3" s="759"/>
      <c r="B3" s="759" t="s">
        <v>109</v>
      </c>
      <c r="C3" s="896" t="str">
        <f>IF(TEMPLATE_SPHERE="HEAT",D3,IF(TEMPLATE_SPHERE="TKO",H3,E3))</f>
        <v>Форма 10. Информация о наличии (об отсутствии) технической возможности подключения (технологического присоединения) к централизованной системе  холодного водоснабжения,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холодного водоснабжения</v>
      </c>
      <c r="D3" s="896" t="s">
        <v>1257</v>
      </c>
      <c r="E3" s="896" t="str">
        <f>"Форма 10. Информация о наличии (об отсутствии) технической возможности подключения (технологического присоединения) к централизованной системе  "&amp;TEMPLATE_SPHERE_RUS&amp;", а также о принятии и рассмотрении заявлений о заключении договоров о подключении (технологическом присоединении) к централизованной системе  "&amp;TEMPLATE_SPHERE_RUS</f>
        <v>Форма 10. Информация о наличии (об отсутствии) технической возможности подключения (технологического присоединения) к централизованной системе  холодного водоснабжения,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холодного водоснабжения</v>
      </c>
      <c r="F3" s="897"/>
      <c r="G3" s="898"/>
      <c r="H3" s="759"/>
    </row>
    <row r="4" spans="1:8" ht="54" customHeight="1">
      <c r="A4" s="759" t="s">
        <v>1258</v>
      </c>
      <c r="B4" s="759" t="s">
        <v>110</v>
      </c>
      <c r="C4" s="896" t="str">
        <f>IF(TEMPLATE_SPHERE="HEAT",D4,IF(TEMPLATE_SPHERE="TKO",H4,E4))</f>
        <v>Форма 1. Информация о регулируемой организации, осуществляющей холодное водоснабжение
(далее – регулируемая организация) (общая информация)</v>
      </c>
      <c r="D4" s="895" t="s">
        <v>1259</v>
      </c>
      <c r="E4" s="896" t="str">
        <f>"Форма 1. Информация о регулируемой организации, осуществляющей "&amp;TEMPLATE_SPHERE_RUS_2&amp;"
(далее – регулируемая организация) (общая информация)"</f>
        <v>Форма 1. Информация о регулируемой организации, осуществляющей холодное водоснабжение
(далее – регулируемая организация) (общая информация)</v>
      </c>
      <c r="F4" s="895"/>
      <c r="G4" s="895"/>
      <c r="H4" s="759" t="s">
        <v>1260</v>
      </c>
    </row>
    <row r="5" spans="1:8" ht="171" customHeight="1">
      <c r="A5" s="759" t="s">
        <v>1261</v>
      </c>
      <c r="B5" s="759" t="s">
        <v>90</v>
      </c>
      <c r="C5" s="896" t="str">
        <f>IF(TEMPLATE_SPHERE="HEAT",D5,IF(TEMPLATE_SPHERE="TKO",H5,E5))</f>
        <v>Форма 11.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холодного водоснабжения</v>
      </c>
      <c r="D5" s="759" t="s">
        <v>1262</v>
      </c>
      <c r="E5" s="762" t="str">
        <f>"Форма 11.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"&amp;TEMPLATE_SPHERE_RUS</f>
        <v>Форма 11.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холодного водоснабжения</v>
      </c>
      <c r="F5" s="898"/>
      <c r="G5" s="898"/>
      <c r="H5" s="759" t="s">
        <v>1263</v>
      </c>
    </row>
    <row r="6" spans="1:8" ht="90" customHeight="1">
      <c r="A6" s="759" t="s">
        <v>1264</v>
      </c>
      <c r="B6" s="759" t="s">
        <v>91</v>
      </c>
      <c r="C6" s="896" t="str">
        <f>IF(TEMPLATE_SPHERE="HEAT",D6,E6)</f>
        <v>Форма 5.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 в сфере холодного водоснабжения)</v>
      </c>
      <c r="D6" s="759" t="s">
        <v>1265</v>
      </c>
      <c r="E6" s="762" t="str">
        <f>"Форма 5.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 в сфере "&amp;TEMPLATE_SPHERE_RUS&amp;")"</f>
        <v>Форма 5.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 в сфере холодного водоснабжения)</v>
      </c>
      <c r="F6" s="759"/>
      <c r="G6" s="759"/>
      <c r="H6" s="898"/>
    </row>
    <row r="7" spans="1:8" ht="45" customHeight="1">
      <c r="A7" s="759" t="s">
        <v>1266</v>
      </c>
      <c r="B7" s="759" t="s">
        <v>111</v>
      </c>
      <c r="C7" s="896" t="str">
        <f>IF(TEMPLATE_SPHERE="HEAT",D7,E7)</f>
        <v>Форма 6.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v>
      </c>
      <c r="D7" s="759" t="s">
        <v>1267</v>
      </c>
      <c r="E7" s="759" t="s">
        <v>1268</v>
      </c>
      <c r="F7" s="898"/>
      <c r="G7" s="898"/>
      <c r="H7" s="898"/>
    </row>
    <row r="8" spans="1:8" ht="108" customHeight="1">
      <c r="A8" s="759" t="s">
        <v>1269</v>
      </c>
      <c r="B8" s="759" t="s">
        <v>92</v>
      </c>
      <c r="C8" s="896" t="str">
        <f>IF(TEMPLATE_SPHERE="HEAT",D8,E8)</f>
        <v>Форма 7. Информация об основных потребительских характеристиках регулируемых товаров (услуг), тарифы на которые подлежат регулированию, и их соответствии установленным требованиям</v>
      </c>
      <c r="D8" s="759" t="s">
        <v>1270</v>
      </c>
      <c r="E8" s="759" t="s">
        <v>1271</v>
      </c>
      <c r="F8" s="898"/>
      <c r="G8" s="898"/>
      <c r="H8" s="898"/>
    </row>
    <row r="9" spans="1:8" ht="99" customHeight="1">
      <c r="A9" s="759" t="s">
        <v>1272</v>
      </c>
      <c r="B9" s="759"/>
      <c r="C9" s="759" t="s">
        <v>1273</v>
      </c>
      <c r="D9" s="759"/>
      <c r="E9" s="759"/>
      <c r="F9" s="898"/>
      <c r="G9" s="898"/>
      <c r="H9" s="898"/>
    </row>
    <row r="10" spans="1:8" ht="126" customHeight="1">
      <c r="A10" s="759" t="s">
        <v>1274</v>
      </c>
      <c r="B10" s="759"/>
      <c r="C10" s="759" t="s">
        <v>1275</v>
      </c>
      <c r="D10" s="759"/>
      <c r="E10" s="759"/>
      <c r="F10" s="898"/>
      <c r="G10" s="898"/>
      <c r="H10" s="898"/>
    </row>
    <row r="11" spans="1:8" ht="108" customHeight="1">
      <c r="A11" s="759" t="s">
        <v>1276</v>
      </c>
      <c r="B11" s="759"/>
      <c r="C11" s="759" t="s">
        <v>1277</v>
      </c>
      <c r="D11" s="759"/>
      <c r="E11" s="759"/>
      <c r="F11" s="898"/>
      <c r="G11" s="898"/>
      <c r="H11" s="898"/>
    </row>
    <row r="12" spans="1:8" ht="54" customHeight="1">
      <c r="A12" s="759" t="s">
        <v>1278</v>
      </c>
      <c r="B12" s="759"/>
      <c r="C12" s="759" t="s">
        <v>1279</v>
      </c>
      <c r="D12" s="759"/>
      <c r="E12" s="759"/>
      <c r="F12" s="898"/>
      <c r="G12" s="898"/>
      <c r="H12" s="898"/>
    </row>
    <row r="13" spans="1:8" ht="45" customHeight="1">
      <c r="A13" s="759" t="s">
        <v>1280</v>
      </c>
      <c r="B13" s="759"/>
      <c r="C13" s="759" t="s">
        <v>1281</v>
      </c>
      <c r="D13" s="759"/>
      <c r="E13" s="759"/>
      <c r="F13" s="898"/>
      <c r="G13" s="898"/>
      <c r="H13" s="898"/>
    </row>
    <row r="14" spans="1:8" ht="117" customHeight="1">
      <c r="A14" s="759" t="s">
        <v>1282</v>
      </c>
      <c r="B14" s="759"/>
      <c r="C14" s="759" t="s">
        <v>1283</v>
      </c>
      <c r="D14" s="759"/>
      <c r="E14" s="759"/>
      <c r="F14" s="898"/>
      <c r="G14" s="898"/>
      <c r="H14" s="898"/>
    </row>
    <row r="15" spans="1:8" ht="117" customHeight="1">
      <c r="A15" s="759" t="s">
        <v>1284</v>
      </c>
      <c r="B15" s="759"/>
      <c r="C15" s="759" t="s">
        <v>1285</v>
      </c>
      <c r="D15" s="759"/>
      <c r="E15" s="759"/>
      <c r="F15" s="898"/>
      <c r="G15" s="898"/>
      <c r="H15" s="898"/>
    </row>
    <row r="16" spans="1:8" ht="63" customHeight="1">
      <c r="A16" s="759" t="s">
        <v>1286</v>
      </c>
      <c r="B16" s="759"/>
      <c r="C16" s="759" t="s">
        <v>1287</v>
      </c>
      <c r="D16" s="759"/>
      <c r="E16" s="759"/>
      <c r="F16" s="898"/>
      <c r="G16" s="898"/>
      <c r="H16" s="898"/>
    </row>
    <row r="17" spans="1:8" ht="63" customHeight="1">
      <c r="A17" s="759" t="s">
        <v>1288</v>
      </c>
      <c r="B17" s="759"/>
      <c r="C17" s="896" t="s">
        <v>1289</v>
      </c>
      <c r="D17" s="759"/>
      <c r="E17" s="759"/>
      <c r="F17" s="898"/>
      <c r="G17" s="898"/>
      <c r="H17" s="898"/>
    </row>
    <row r="18" spans="1:8" ht="27" customHeight="1">
      <c r="A18" s="759" t="s">
        <v>1290</v>
      </c>
      <c r="B18" s="759"/>
      <c r="C18" s="896" t="s">
        <v>1291</v>
      </c>
      <c r="D18" s="759"/>
      <c r="E18" s="759"/>
      <c r="F18" s="898"/>
      <c r="G18" s="898"/>
      <c r="H18" s="898"/>
    </row>
    <row r="19" spans="1:8" ht="54" customHeight="1">
      <c r="A19" s="759" t="s">
        <v>1292</v>
      </c>
      <c r="B19" s="759"/>
      <c r="C19" s="896" t="s">
        <v>1293</v>
      </c>
      <c r="D19" s="759"/>
      <c r="E19" s="759"/>
      <c r="F19" s="898"/>
      <c r="G19" s="898"/>
      <c r="H19" s="898"/>
    </row>
    <row r="20" spans="1:8" ht="36" customHeight="1">
      <c r="A20" s="759" t="s">
        <v>1294</v>
      </c>
      <c r="B20" s="759"/>
      <c r="C20" s="896" t="s">
        <v>1295</v>
      </c>
      <c r="D20" s="759"/>
      <c r="E20" s="759"/>
      <c r="F20" s="898"/>
      <c r="G20" s="898"/>
      <c r="H20" s="898"/>
    </row>
    <row r="21" spans="1:8" ht="28.5" customHeight="1">
      <c r="A21" s="759" t="s">
        <v>1296</v>
      </c>
      <c r="B21" s="759"/>
      <c r="C21" s="896" t="s">
        <v>1297</v>
      </c>
      <c r="D21" s="759"/>
      <c r="E21" s="759"/>
      <c r="F21" s="898"/>
      <c r="G21" s="898"/>
      <c r="H21" s="898"/>
    </row>
    <row r="22" spans="1:8" ht="28.5" customHeight="1">
      <c r="A22" s="759" t="s">
        <v>1298</v>
      </c>
      <c r="B22" s="759"/>
      <c r="C22" s="896" t="s">
        <v>1299</v>
      </c>
      <c r="D22" s="759"/>
      <c r="E22" s="759"/>
      <c r="F22" s="898"/>
      <c r="G22" s="898"/>
      <c r="H22" s="898"/>
    </row>
    <row r="23" spans="1:8" ht="28.5" customHeight="1">
      <c r="A23" s="759" t="s">
        <v>1300</v>
      </c>
      <c r="B23" s="759"/>
      <c r="C23" s="896" t="s">
        <v>1301</v>
      </c>
      <c r="D23" s="759"/>
      <c r="E23" s="759"/>
      <c r="F23" s="898"/>
      <c r="G23" s="898"/>
      <c r="H23" s="898"/>
    </row>
    <row r="24" spans="1:8" ht="28.5" customHeight="1">
      <c r="A24" s="759" t="s">
        <v>1302</v>
      </c>
      <c r="B24" s="759"/>
      <c r="C24" s="896" t="s">
        <v>1303</v>
      </c>
      <c r="D24" s="759"/>
      <c r="E24" s="759"/>
      <c r="F24" s="898"/>
      <c r="G24" s="898"/>
      <c r="H24" s="898"/>
    </row>
    <row r="25" spans="1:8" ht="28.5" customHeight="1">
      <c r="A25" s="759" t="s">
        <v>1304</v>
      </c>
      <c r="B25" s="759"/>
      <c r="C25" s="896" t="s">
        <v>1305</v>
      </c>
      <c r="D25" s="759"/>
      <c r="E25" s="759"/>
      <c r="F25" s="898"/>
      <c r="G25" s="898"/>
      <c r="H25" s="898"/>
    </row>
    <row r="26" spans="1:8" ht="28.5" customHeight="1">
      <c r="A26" s="759" t="s">
        <v>1306</v>
      </c>
      <c r="B26" s="759"/>
      <c r="C26" s="896" t="s">
        <v>1307</v>
      </c>
      <c r="D26" s="759"/>
      <c r="E26" s="759"/>
      <c r="F26" s="898"/>
      <c r="G26" s="898"/>
      <c r="H26" s="898"/>
    </row>
    <row r="27" spans="1:8" ht="28.5" customHeight="1">
      <c r="A27" s="759" t="s">
        <v>1308</v>
      </c>
      <c r="B27" s="759"/>
      <c r="C27" s="896" t="s">
        <v>1309</v>
      </c>
      <c r="D27" s="759"/>
      <c r="E27" s="759"/>
      <c r="F27" s="898"/>
      <c r="G27" s="898"/>
      <c r="H27" s="898"/>
    </row>
    <row r="28" spans="1:8" ht="28.5" customHeight="1">
      <c r="A28" s="759" t="s">
        <v>1310</v>
      </c>
      <c r="B28" s="759"/>
      <c r="C28" s="896" t="s">
        <v>1311</v>
      </c>
      <c r="D28" s="759"/>
      <c r="E28" s="759"/>
      <c r="F28" s="898"/>
      <c r="G28" s="898"/>
      <c r="H28" s="898"/>
    </row>
    <row r="29" spans="1:8" ht="126" customHeight="1">
      <c r="A29" s="759" t="s">
        <v>1312</v>
      </c>
      <c r="B29" s="759" t="s">
        <v>962</v>
      </c>
      <c r="C29" s="896" t="str">
        <f>IF(TEMPLATE_SPHERE="HEAT",D29,IF(TEMPLATE_SPHERE="TKO",H29,E29))</f>
        <v>Форма 13. Информация о способах приобретения, стоимости и об объемах товаров (работ, услуг), необходимых организации холодного водоснабжениядля производства товаров (оказания услуг) в сфере холодного водоснабжения, тарифы на которые подлежат регулированию, содержит сведения о правовых актах, регламентирующих правила закупки (положение о закупке) в организации холодного водоснабжения и о месте их размещения, а также сведения о планировании закупок и результатах их проведения</v>
      </c>
      <c r="D29" s="759" t="s">
        <v>1313</v>
      </c>
      <c r="E29" s="762" t="str">
        <f>"Форма 13. Информация о способах приобретения, стоимости и об объемах товаров (работ, услуг), необходимых организации "&amp;TEMPLATE_SPHERE_RUS&amp;"для производства товаров (оказания услуг) в сфере "&amp;TEMPLATE_SPHERE_RUS&amp;", тарифы на которые подлежат регулированию, содержит сведения о правовых актах, регламентирующих правила закупки (положение о закупке) в организации "&amp;TEMPLATE_SPHERE_RUS&amp;" и о месте их размещения, а также сведения о планировании закупок и результатах их проведения"</f>
        <v>Форма 13. Информация о способах приобретения, стоимости и об объемах товаров (работ, услуг), необходимых организации холодного водоснабжениядля производства товаров (оказания услуг) в сфере холодного водоснабжения, тарифы на которые подлежат регулированию, содержит сведения о правовых актах, регламентирующих правила закупки (положение о закупке) в организации холодного водоснабжения и о месте их размещения, а также сведения о планировании закупок и результатах их проведения</v>
      </c>
      <c r="F29" s="898"/>
      <c r="G29" s="898"/>
      <c r="H29" s="759" t="s">
        <v>1314</v>
      </c>
    </row>
    <row r="30" spans="1:8" ht="36" customHeight="1">
      <c r="A30" s="759" t="s">
        <v>1315</v>
      </c>
      <c r="B30" s="759"/>
      <c r="C30" s="896" t="str">
        <f>IF(TEMPLATE_SPHERE="HEAT",D30,IF(TEMPLATE_SPHERE="TKO",H30,E30))</f>
        <v>Форма 12.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холодного водоснабжения &lt;1&gt;</v>
      </c>
      <c r="D30" s="759" t="s">
        <v>1316</v>
      </c>
      <c r="E30" s="762" t="str">
        <f>"Форма 12.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"&amp;TEMPLATE_SPHERE_RUS&amp;" &lt;1&gt;"</f>
        <v>Форма 12.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холодного водоснабжения &lt;1&gt;</v>
      </c>
      <c r="F30" s="898"/>
      <c r="G30" s="898"/>
      <c r="H30" s="898"/>
    </row>
    <row r="31" spans="1:8" ht="9" customHeight="1">
      <c r="A31" s="759"/>
      <c r="B31" s="759"/>
      <c r="C31" s="896"/>
      <c r="D31" s="759"/>
      <c r="E31" s="759"/>
      <c r="F31" s="898"/>
      <c r="G31" s="898"/>
      <c r="H31" s="898"/>
    </row>
    <row r="32" spans="1:8" ht="9" customHeight="1">
      <c r="A32" s="759"/>
      <c r="B32" s="759"/>
      <c r="C32" s="896"/>
      <c r="D32" s="759"/>
      <c r="E32" s="759"/>
      <c r="F32" s="898"/>
      <c r="G32" s="898"/>
      <c r="H32" s="898"/>
    </row>
    <row r="33" spans="1:8" ht="9" customHeight="1">
      <c r="A33" s="759"/>
      <c r="B33" s="759"/>
      <c r="C33" s="896"/>
      <c r="D33" s="759"/>
      <c r="E33" s="759"/>
      <c r="F33" s="898"/>
      <c r="G33" s="898"/>
      <c r="H33" s="898"/>
    </row>
    <row r="34" spans="1:8" ht="9" customHeight="1">
      <c r="A34" s="759"/>
      <c r="B34" s="759" t="s">
        <v>898</v>
      </c>
      <c r="C34" s="896">
        <f>INDEX(TEMPLATE_NAME_FORM_LIST,B34,MATCH(TEMPLATE_SPHERE,TEMPLATE_SPHERE_LIST,0))</f>
        <v>0</v>
      </c>
      <c r="D34" s="759"/>
      <c r="E34" s="759"/>
      <c r="F34" s="898"/>
      <c r="G34" s="898"/>
      <c r="H34" s="898"/>
    </row>
  </sheetData>
  <sheetProtection insertRows="0" deleteColumns="0" deleteRows="0" sort="0" autoFilter="0"/>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CC99"/>
  </sheetPr>
  <dimension ref="A1:AH154"/>
  <sheetViews>
    <sheetView showGridLines="0" workbookViewId="0"/>
  </sheetViews>
  <sheetFormatPr defaultColWidth="9.140625" defaultRowHeight="9" customHeight="1"/>
  <cols>
    <col min="1" max="2" width="9.140625" style="753"/>
    <col min="3" max="7" width="8" style="755" customWidth="1"/>
    <col min="8" max="12" width="8.5703125" style="755" customWidth="1"/>
    <col min="13" max="14" width="27.7109375" style="755" customWidth="1"/>
    <col min="15" max="19" width="5.140625" style="755" customWidth="1"/>
    <col min="20" max="24" width="27.7109375" style="755" customWidth="1"/>
    <col min="25" max="25" width="1.85546875" style="911" customWidth="1"/>
    <col min="26" max="26" width="27.7109375" style="753" customWidth="1"/>
    <col min="27" max="27" width="27.7109375" style="764" customWidth="1"/>
    <col min="28" max="29" width="27.7109375" style="753" customWidth="1"/>
    <col min="30" max="30" width="3.85546875" style="753" customWidth="1"/>
    <col min="31" max="34" width="9.140625" style="753"/>
  </cols>
  <sheetData>
    <row r="1" spans="1:34" s="752" customFormat="1" ht="18" customHeight="1">
      <c r="A1" s="813"/>
      <c r="B1" s="813"/>
      <c r="C1" s="813" t="s">
        <v>1317</v>
      </c>
      <c r="D1" s="813"/>
      <c r="E1" s="813"/>
      <c r="F1" s="813"/>
      <c r="G1" s="813"/>
      <c r="H1" s="813" t="s">
        <v>1318</v>
      </c>
      <c r="I1" s="813"/>
      <c r="J1" s="813"/>
      <c r="K1" s="813"/>
      <c r="L1" s="813"/>
      <c r="M1" s="813" t="s">
        <v>1319</v>
      </c>
      <c r="N1" s="813" t="s">
        <v>1320</v>
      </c>
      <c r="O1" s="2136" t="s">
        <v>1321</v>
      </c>
      <c r="P1" s="2136"/>
      <c r="Q1" s="2136"/>
      <c r="R1" s="2136"/>
      <c r="S1" s="2136"/>
      <c r="T1" s="2136" t="s">
        <v>1319</v>
      </c>
      <c r="U1" s="2136"/>
      <c r="V1" s="2136"/>
      <c r="W1" s="2136"/>
      <c r="X1" s="2136"/>
      <c r="Y1" s="909"/>
      <c r="Z1" s="2136" t="s">
        <v>1322</v>
      </c>
      <c r="AA1" s="2136"/>
      <c r="AB1" s="2136"/>
      <c r="AC1" s="2136"/>
      <c r="AD1" s="2136"/>
    </row>
    <row r="2" spans="1:34" ht="18" customHeight="1">
      <c r="A2" s="759"/>
      <c r="B2" s="759"/>
      <c r="C2" s="754" t="s">
        <v>595</v>
      </c>
      <c r="D2" s="754" t="s">
        <v>984</v>
      </c>
      <c r="E2" s="754" t="s">
        <v>597</v>
      </c>
      <c r="F2" s="754" t="s">
        <v>1007</v>
      </c>
      <c r="G2" s="754" t="s">
        <v>1015</v>
      </c>
      <c r="H2" s="756"/>
      <c r="I2" s="756"/>
      <c r="J2" s="756"/>
      <c r="K2" s="756"/>
      <c r="L2" s="756"/>
      <c r="M2" s="756"/>
      <c r="N2" s="756"/>
      <c r="O2" s="754" t="s">
        <v>595</v>
      </c>
      <c r="P2" s="754" t="s">
        <v>984</v>
      </c>
      <c r="Q2" s="754" t="s">
        <v>1007</v>
      </c>
      <c r="R2" s="754" t="s">
        <v>597</v>
      </c>
      <c r="S2" s="754" t="s">
        <v>1015</v>
      </c>
      <c r="T2" s="754" t="s">
        <v>595</v>
      </c>
      <c r="U2" s="754" t="s">
        <v>984</v>
      </c>
      <c r="V2" s="754" t="s">
        <v>1007</v>
      </c>
      <c r="W2" s="754" t="s">
        <v>597</v>
      </c>
      <c r="X2" s="754" t="s">
        <v>1015</v>
      </c>
      <c r="Y2" s="754"/>
      <c r="Z2" s="754" t="s">
        <v>595</v>
      </c>
      <c r="AA2" s="763" t="s">
        <v>984</v>
      </c>
      <c r="AB2" s="754" t="s">
        <v>1007</v>
      </c>
      <c r="AC2" s="754" t="s">
        <v>597</v>
      </c>
      <c r="AD2" s="754" t="s">
        <v>1015</v>
      </c>
    </row>
    <row r="3" spans="1:34" ht="162" customHeight="1">
      <c r="A3" s="758" t="s">
        <v>23</v>
      </c>
      <c r="B3" s="758"/>
      <c r="C3" s="2140" t="s">
        <v>1323</v>
      </c>
      <c r="D3" s="2141"/>
      <c r="E3" s="2141"/>
      <c r="F3" s="2142"/>
      <c r="G3" s="756"/>
      <c r="H3" s="756"/>
      <c r="I3" s="756"/>
      <c r="J3" s="756"/>
      <c r="K3" s="756"/>
      <c r="L3" s="756"/>
      <c r="M3" s="756"/>
      <c r="N3" s="757" t="str">
        <f>INDEX(TEMPLATE_ORG_DATA_POINT,1,MATCH(TEMPLATE_SPHERE,TEMPLATE_SPHERE_LIST_FOR_NOTE,0))</f>
        <v>В случае если регулируемыми организациями оказываются услуги по холодному водоснабжению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c r="O3" s="756"/>
      <c r="P3" s="756"/>
      <c r="Q3" s="756"/>
      <c r="R3" s="756"/>
      <c r="S3" s="756"/>
      <c r="T3" s="756"/>
      <c r="U3" s="756"/>
      <c r="V3" s="756"/>
      <c r="W3" s="756"/>
      <c r="X3" s="756"/>
      <c r="Y3" s="910"/>
      <c r="Z3" s="759" t="s">
        <v>1324</v>
      </c>
      <c r="AA3" s="756" t="s">
        <v>1325</v>
      </c>
      <c r="AB3" s="759" t="s">
        <v>1326</v>
      </c>
      <c r="AC3" s="759" t="s">
        <v>1327</v>
      </c>
      <c r="AD3" s="759"/>
      <c r="AG3" s="759"/>
      <c r="AH3" s="759"/>
    </row>
    <row r="4" spans="1:34" ht="9" customHeight="1">
      <c r="A4" s="758"/>
      <c r="B4" s="758"/>
      <c r="C4" s="756"/>
      <c r="D4" s="756"/>
      <c r="E4" s="756"/>
      <c r="F4" s="756"/>
      <c r="G4" s="756"/>
      <c r="H4" s="756"/>
      <c r="I4" s="756"/>
      <c r="J4" s="756"/>
      <c r="K4" s="756"/>
      <c r="L4" s="756"/>
      <c r="M4" s="756"/>
      <c r="N4" s="756"/>
      <c r="O4" s="756"/>
      <c r="P4" s="756"/>
      <c r="Q4" s="756"/>
      <c r="R4" s="756"/>
      <c r="S4" s="756"/>
      <c r="T4" s="756"/>
      <c r="U4" s="756"/>
      <c r="V4" s="756"/>
      <c r="W4" s="756"/>
      <c r="X4" s="756"/>
      <c r="Y4" s="910"/>
      <c r="Z4" s="759"/>
      <c r="AA4" s="762"/>
      <c r="AB4" s="759"/>
      <c r="AC4" s="759"/>
      <c r="AD4" s="759"/>
    </row>
    <row r="5" spans="1:34" ht="9" customHeight="1">
      <c r="A5" s="758"/>
      <c r="B5" s="758"/>
      <c r="C5" s="756"/>
      <c r="D5" s="756"/>
      <c r="E5" s="756"/>
      <c r="F5" s="756"/>
      <c r="G5" s="756"/>
      <c r="H5" s="756"/>
      <c r="I5" s="756"/>
      <c r="J5" s="756"/>
      <c r="K5" s="756"/>
      <c r="L5" s="756"/>
      <c r="M5" s="756"/>
      <c r="N5" s="756"/>
      <c r="O5" s="756"/>
      <c r="P5" s="756"/>
      <c r="Q5" s="756"/>
      <c r="R5" s="756"/>
      <c r="S5" s="756"/>
      <c r="T5" s="756"/>
      <c r="U5" s="756"/>
      <c r="V5" s="756"/>
      <c r="W5" s="756"/>
      <c r="X5" s="756"/>
      <c r="Y5" s="910"/>
      <c r="Z5" s="759"/>
      <c r="AA5" s="762"/>
      <c r="AB5" s="759"/>
      <c r="AC5" s="759"/>
      <c r="AD5" s="759"/>
    </row>
    <row r="6" spans="1:34" ht="9" customHeight="1">
      <c r="A6" s="758"/>
      <c r="B6" s="758"/>
      <c r="C6" s="756"/>
      <c r="D6" s="756"/>
      <c r="E6" s="756"/>
      <c r="F6" s="756"/>
      <c r="G6" s="756"/>
      <c r="H6" s="756"/>
      <c r="I6" s="756"/>
      <c r="J6" s="756"/>
      <c r="K6" s="756"/>
      <c r="L6" s="756"/>
      <c r="M6" s="756"/>
      <c r="N6" s="756"/>
      <c r="O6" s="756"/>
      <c r="P6" s="756"/>
      <c r="Q6" s="756"/>
      <c r="R6" s="756"/>
      <c r="S6" s="756"/>
      <c r="T6" s="756"/>
      <c r="U6" s="756"/>
      <c r="V6" s="756"/>
      <c r="W6" s="756"/>
      <c r="X6" s="756"/>
      <c r="Y6" s="910"/>
      <c r="Z6" s="759"/>
      <c r="AA6" s="762"/>
      <c r="AB6" s="759"/>
      <c r="AC6" s="759"/>
      <c r="AD6" s="759"/>
    </row>
    <row r="7" spans="1:34" ht="9" customHeight="1">
      <c r="A7" s="758"/>
      <c r="B7" s="758"/>
      <c r="C7" s="756"/>
      <c r="D7" s="756"/>
      <c r="E7" s="756"/>
      <c r="F7" s="756"/>
      <c r="G7" s="756"/>
      <c r="H7" s="756"/>
      <c r="I7" s="756"/>
      <c r="J7" s="756"/>
      <c r="K7" s="756"/>
      <c r="L7" s="756"/>
      <c r="M7" s="756"/>
      <c r="N7" s="756"/>
      <c r="O7" s="756"/>
      <c r="P7" s="756"/>
      <c r="Q7" s="756"/>
      <c r="R7" s="756"/>
      <c r="S7" s="756"/>
      <c r="T7" s="756"/>
      <c r="U7" s="756"/>
      <c r="V7" s="756"/>
      <c r="W7" s="756"/>
      <c r="X7" s="756"/>
      <c r="Y7" s="910"/>
      <c r="Z7" s="759"/>
      <c r="AA7" s="762"/>
      <c r="AB7" s="759"/>
      <c r="AC7" s="759"/>
      <c r="AD7" s="759"/>
    </row>
    <row r="8" spans="1:34" ht="9" customHeight="1">
      <c r="A8" s="758"/>
      <c r="B8" s="758"/>
      <c r="C8" s="756"/>
      <c r="D8" s="756"/>
      <c r="E8" s="756"/>
      <c r="F8" s="756"/>
      <c r="G8" s="756"/>
      <c r="H8" s="756"/>
      <c r="I8" s="756"/>
      <c r="J8" s="756"/>
      <c r="K8" s="756"/>
      <c r="L8" s="756"/>
      <c r="M8" s="756"/>
      <c r="N8" s="756"/>
      <c r="O8" s="756"/>
      <c r="P8" s="756"/>
      <c r="Q8" s="756"/>
      <c r="R8" s="756"/>
      <c r="S8" s="756"/>
      <c r="T8" s="756"/>
      <c r="U8" s="756"/>
      <c r="V8" s="756"/>
      <c r="W8" s="756"/>
      <c r="X8" s="756"/>
      <c r="Y8" s="910"/>
      <c r="Z8" s="759"/>
      <c r="AA8" s="762"/>
      <c r="AB8" s="759"/>
      <c r="AC8" s="759"/>
      <c r="AD8" s="759"/>
    </row>
    <row r="9" spans="1:34" ht="9" customHeight="1">
      <c r="A9" s="758"/>
      <c r="B9" s="758"/>
      <c r="C9" s="756"/>
      <c r="D9" s="756"/>
      <c r="E9" s="756"/>
      <c r="F9" s="756"/>
      <c r="G9" s="756"/>
      <c r="H9" s="756"/>
      <c r="I9" s="756"/>
      <c r="J9" s="756"/>
      <c r="K9" s="756"/>
      <c r="L9" s="756"/>
      <c r="M9" s="756"/>
      <c r="N9" s="756"/>
      <c r="O9" s="756"/>
      <c r="P9" s="756"/>
      <c r="Q9" s="756"/>
      <c r="R9" s="756"/>
      <c r="S9" s="756"/>
      <c r="T9" s="756"/>
      <c r="U9" s="756"/>
      <c r="V9" s="756"/>
      <c r="W9" s="756"/>
      <c r="X9" s="756"/>
      <c r="Y9" s="910"/>
      <c r="Z9" s="759"/>
      <c r="AA9" s="762"/>
      <c r="AB9" s="759"/>
      <c r="AC9" s="759"/>
      <c r="AD9" s="759"/>
    </row>
    <row r="10" spans="1:34" ht="9" customHeight="1">
      <c r="A10" s="814"/>
      <c r="B10" s="814"/>
      <c r="C10" s="814"/>
      <c r="D10" s="814"/>
      <c r="E10" s="814"/>
      <c r="F10" s="814"/>
      <c r="G10" s="814"/>
      <c r="H10" s="814"/>
      <c r="I10" s="814"/>
      <c r="J10" s="814"/>
      <c r="K10" s="814"/>
      <c r="L10" s="814"/>
      <c r="M10" s="814"/>
      <c r="N10" s="814"/>
      <c r="O10" s="814"/>
      <c r="P10" s="814"/>
      <c r="Q10" s="814"/>
      <c r="R10" s="814"/>
      <c r="S10" s="814"/>
      <c r="T10" s="814"/>
      <c r="U10" s="814"/>
      <c r="V10" s="814"/>
      <c r="W10" s="814"/>
      <c r="X10" s="814"/>
      <c r="Y10" s="814"/>
      <c r="Z10" s="814"/>
      <c r="AA10" s="814"/>
      <c r="AB10" s="814"/>
      <c r="AC10" s="814"/>
      <c r="AD10" s="814"/>
    </row>
    <row r="11" spans="1:34" ht="45" customHeight="1">
      <c r="A11" s="2137" t="s">
        <v>29</v>
      </c>
      <c r="B11" s="814">
        <v>1</v>
      </c>
      <c r="C11" s="2143" t="s">
        <v>949</v>
      </c>
      <c r="D11" s="2143" t="s">
        <v>945</v>
      </c>
      <c r="E11" s="2143" t="s">
        <v>1053</v>
      </c>
      <c r="F11" s="2143" t="s">
        <v>1328</v>
      </c>
      <c r="G11" s="2143"/>
      <c r="H11" s="813" t="s">
        <v>1329</v>
      </c>
      <c r="I11" s="813"/>
      <c r="J11" s="813"/>
      <c r="K11" s="813"/>
      <c r="L11" s="813"/>
      <c r="M11" s="757" t="str">
        <f>IF(TEMPLATE_SPHERE="HEAT",T11,U11)</f>
        <v xml:space="preserve">Количество поданных заявлений </v>
      </c>
      <c r="N11" s="757" t="str">
        <f t="shared" ref="N11:N16" si="0">IF(TEMPLATE_SPHERE="HEAT",Z11,AA11)</f>
        <v>Указывается количество поданных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O11" s="756"/>
      <c r="P11" s="756"/>
      <c r="Q11" s="756"/>
      <c r="R11" s="756"/>
      <c r="S11" s="756"/>
      <c r="T11" s="756" t="s">
        <v>1330</v>
      </c>
      <c r="U11" s="756" t="s">
        <v>1331</v>
      </c>
      <c r="V11" s="756"/>
      <c r="W11" s="756"/>
      <c r="X11" s="756"/>
      <c r="Y11" s="910"/>
      <c r="Z11" s="759" t="s">
        <v>1332</v>
      </c>
      <c r="AA11" s="762" t="str">
        <f>"Указывается количество поданных заявлений о заключении договоров о подключении (технологическом присоединении) к централизованной системе "&amp;TEMPLATE_SPHERE_RUS&amp;" в течение одного квартала."</f>
        <v>Указывается количество поданных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AB11" s="759"/>
      <c r="AC11" s="759"/>
      <c r="AD11" s="759"/>
    </row>
    <row r="12" spans="1:34" ht="45" customHeight="1">
      <c r="A12" s="2137"/>
      <c r="B12" s="814">
        <v>2</v>
      </c>
      <c r="C12" s="2144"/>
      <c r="D12" s="2144"/>
      <c r="E12" s="2144"/>
      <c r="F12" s="2144"/>
      <c r="G12" s="2144"/>
      <c r="H12" s="813" t="s">
        <v>1333</v>
      </c>
      <c r="I12" s="813"/>
      <c r="J12" s="813"/>
      <c r="K12" s="813"/>
      <c r="L12" s="813"/>
      <c r="M12" s="757" t="str">
        <f>IF(TEMPLATE_SPHERE="HEAT",T12,U12)</f>
        <v xml:space="preserve">Количество исполненных заявлений </v>
      </c>
      <c r="N12" s="757" t="str">
        <f t="shared" si="0"/>
        <v>Указывается количество исполненных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O12" s="756"/>
      <c r="P12" s="756"/>
      <c r="Q12" s="756"/>
      <c r="R12" s="756"/>
      <c r="S12" s="756"/>
      <c r="T12" s="756" t="s">
        <v>1334</v>
      </c>
      <c r="U12" s="756" t="s">
        <v>1335</v>
      </c>
      <c r="V12" s="756"/>
      <c r="W12" s="756"/>
      <c r="X12" s="756"/>
      <c r="Y12" s="910"/>
      <c r="Z12" s="759" t="s">
        <v>1336</v>
      </c>
      <c r="AA12" s="762" t="str">
        <f>"Указывается количество исполненных заявлений о заключении договоров о подключении (технологическом присоединении) к централизованной системе "&amp;TEMPLATE_SPHERE_RUS&amp;" в течение одного квартала."</f>
        <v>Указывается количество исполненных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AB12" s="759"/>
      <c r="AC12" s="759"/>
      <c r="AD12" s="759"/>
    </row>
    <row r="13" spans="1:34" ht="72" customHeight="1">
      <c r="A13" s="2137"/>
      <c r="B13" s="814">
        <v>3</v>
      </c>
      <c r="C13" s="2144"/>
      <c r="D13" s="2144"/>
      <c r="E13" s="2144"/>
      <c r="F13" s="2144"/>
      <c r="G13" s="2144"/>
      <c r="H13" s="2136" t="s">
        <v>1337</v>
      </c>
      <c r="I13" s="813"/>
      <c r="J13" s="813"/>
      <c r="K13" s="813"/>
      <c r="L13" s="813"/>
      <c r="M13" s="757" t="str">
        <f>IF(TEMPLATE_SPHERE="HEAT",T13,U13)</f>
        <v>Количество заявлений о заключении договоров о подключении (технологическом присоединении)</v>
      </c>
      <c r="N13" s="757" t="str">
        <f t="shared" si="0"/>
        <v>Указывается количество заявлений о заключении договоров о подключении (технологическом присоединении) к централизованной системе холодного водоснабжения, по которым организацией холодного водоснабжения отказано в заключении договора о подключении (технологическом присоединении) к централизованной системе холодного водоснабжения с указанием причин, в течение одного квартала.</v>
      </c>
      <c r="O13" s="756"/>
      <c r="P13" s="757"/>
      <c r="Q13" s="757"/>
      <c r="R13" s="757"/>
      <c r="S13" s="756"/>
      <c r="T13" s="756" t="s">
        <v>1338</v>
      </c>
      <c r="U13" s="757" t="s">
        <v>1339</v>
      </c>
      <c r="V13" s="757"/>
      <c r="W13" s="757"/>
      <c r="X13" s="756"/>
      <c r="Y13" s="910"/>
      <c r="Z13" s="759" t="s">
        <v>1340</v>
      </c>
      <c r="AA13" s="762" t="str">
        <f>"Указывается количество заявлений о заключении договоров о подключении (технологическом присоединении) к централизованной системе "&amp;TEMPLATE_SPHERE_RUS&amp;", по которым организацией "&amp;TEMPLATE_SPHERE_RUS&amp;" отказано в заключении договора о подключении (технологическом присоединении) к централизованной системе "&amp;TEMPLATE_SPHERE_RUS&amp;" с указанием причин, в течение одного квартала."</f>
        <v>Указывается количество заявлений о заключении договоров о подключении (технологическом присоединении) к централизованной системе холодного водоснабжения, по которым организацией холодного водоснабжения отказано в заключении договора о подключении (технологическом присоединении) к централизованной системе холодного водоснабжения с указанием причин, в течение одного квартала.</v>
      </c>
      <c r="AB13" s="759"/>
      <c r="AC13" s="759"/>
      <c r="AD13" s="759"/>
    </row>
    <row r="14" spans="1:34" ht="45" customHeight="1">
      <c r="A14" s="2137"/>
      <c r="B14" s="814">
        <v>4</v>
      </c>
      <c r="C14" s="2144"/>
      <c r="D14" s="2144"/>
      <c r="E14" s="2144"/>
      <c r="F14" s="2144"/>
      <c r="G14" s="2144"/>
      <c r="H14" s="2136"/>
      <c r="I14" s="816"/>
      <c r="J14" s="816"/>
      <c r="K14" s="816"/>
      <c r="L14" s="816"/>
      <c r="M14" s="760" t="str">
        <f>IF(TEMPLATE_SPHERE="HEAT",T14,U14)</f>
        <v>Причины отказа в заключении договора о подключении (технологическом присоединении) к централизованной системе холодного водоснабжения</v>
      </c>
      <c r="N14" s="757" t="str">
        <f t="shared" si="0"/>
        <v>Указывается текстовое описание причин принятия решений._x000D_
Не заполняется в случае, если решения об отказе в течение отчетного периода не принимались.</v>
      </c>
      <c r="O14" s="756"/>
      <c r="P14" s="757"/>
      <c r="Q14" s="757"/>
      <c r="R14" s="757"/>
      <c r="S14" s="756"/>
      <c r="T14" s="756" t="s">
        <v>1341</v>
      </c>
      <c r="U14" s="757" t="str">
        <f>"Причины отказа в заключении договора о подключении (технологическом присоединении) к централизованной системе "&amp;TEMPLATE_SPHERE_RUS</f>
        <v>Причины отказа в заключении договора о подключении (технологическом присоединении) к централизованной системе холодного водоснабжения</v>
      </c>
      <c r="V14" s="757"/>
      <c r="W14" s="757"/>
      <c r="X14" s="756"/>
      <c r="Y14" s="910"/>
      <c r="Z14" s="759" t="s">
        <v>1342</v>
      </c>
      <c r="AA14" s="762" t="s">
        <v>1342</v>
      </c>
      <c r="AB14" s="759"/>
      <c r="AC14" s="759"/>
      <c r="AD14" s="759"/>
    </row>
    <row r="15" spans="1:34" ht="108" customHeight="1">
      <c r="A15" s="2137"/>
      <c r="B15" s="814">
        <v>5</v>
      </c>
      <c r="C15" s="2144"/>
      <c r="D15" s="2144"/>
      <c r="E15" s="2144"/>
      <c r="F15" s="2144"/>
      <c r="G15" s="2144"/>
      <c r="H15" s="2138" t="s">
        <v>1343</v>
      </c>
      <c r="I15" s="815"/>
      <c r="J15" s="815"/>
      <c r="K15" s="815"/>
      <c r="L15" s="815"/>
      <c r="M15" s="762" t="str">
        <f>IF(TEMPLATE_SPHERE="HEAT",T15,U15)</f>
        <v>Наличие свободной мощности (резерва мощности) на соответствующих объектах централизованных систем холодного водоснабжения в течение одного квартала, в том числе:</v>
      </c>
      <c r="N15" s="761" t="str">
        <f t="shared" si="0"/>
        <v>Указывается наличие свободной мощности (резерв мощности) на соответствующих объектах централизованной системы холодного водоснабжения (совокупности централизованных систем холодного водоснабжения) в случае, если для них установлены одинаковые тарифы в сфере холодного водоснабжения.
В случае если регулируемыми организациями оказываются услуги холодного водоснабжения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c r="O15" s="756"/>
      <c r="P15" s="757"/>
      <c r="Q15" s="757"/>
      <c r="R15" s="757"/>
      <c r="S15" s="756"/>
      <c r="T15" s="756" t="s">
        <v>1344</v>
      </c>
      <c r="U15" s="757" t="str">
        <f>"Наличие свободной мощности (резерва мощности) на соответствующих объектах централизованных систем "&amp;TEMPLATE_SPHERE_RUS&amp;" в течение одного квартала, в том числе:"</f>
        <v>Наличие свободной мощности (резерва мощности) на соответствующих объектах централизованных систем холодного водоснабжения в течение одного квартала, в том числе:</v>
      </c>
      <c r="V15" s="757"/>
      <c r="W15" s="757"/>
      <c r="X15" s="756"/>
      <c r="Y15" s="910"/>
      <c r="Z15" s="759" t="s">
        <v>1345</v>
      </c>
      <c r="AA15" s="762" t="str">
        <f>"Указывается наличие свободной мощности (резерв мощности) на соответствующих объектах централизованной системы "&amp;TEMPLATE_SPHERE_RUS&amp;" (совокупности централизованных систем "&amp;TEMPLATE_SPHERE_RUS&amp;") в случае, если для них установлены одинаковые тарифы в сфере "&amp;TEMPLATE_SPHERE_RUS&amp;".
В случае если регулируемыми организациями оказываются услуги "&amp;TEMPLATE_SPHERE_RUS&amp;" по нескольким технологически не связанным между собой централизованным системам "&amp;TEMPLATE_SPHERE_RUS&amp;", и если в отношении указанных систем устанавливаются различные тарифы в сфере "&amp;TEMPLATE_SPHERE_RUS&amp;", то информация раскрывается отдельно по каждой централизованной системе "&amp;TEMPLATE_SPHERE_RUS&amp;"."</f>
        <v>Указывается наличие свободной мощности (резерв мощности) на соответствующих объектах централизованной системы холодного водоснабжения (совокупности централизованных систем холодного водоснабжения) в случае, если для них установлены одинаковые тарифы в сфере холодного водоснабжения.
В случае если регулируемыми организациями оказываются услуги холодного водоснабжения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c r="AB15" s="759"/>
      <c r="AC15" s="759"/>
      <c r="AD15" s="759"/>
    </row>
    <row r="16" spans="1:34" ht="108" customHeight="1">
      <c r="A16" s="814"/>
      <c r="B16" s="814">
        <v>6</v>
      </c>
      <c r="C16" s="2145"/>
      <c r="D16" s="2145"/>
      <c r="E16" s="2145"/>
      <c r="F16" s="2145"/>
      <c r="G16" s="2145"/>
      <c r="H16" s="2139"/>
      <c r="I16" s="874"/>
      <c r="J16" s="874"/>
      <c r="K16" s="874"/>
      <c r="L16" s="874"/>
      <c r="M16" s="807"/>
      <c r="N16" s="761" t="str">
        <f t="shared" si="0"/>
        <v>Указывается наличие свободной мощности (резерв мощности) для централизованной системы холодного водоснабжения, тариф для которой не является отличным от тарифов других централизованных систем холодного водоснабжения регулируемой организации.
При использовании регулируемой организацией нескольких централизованных систем холодного водоснабжения информация о наличии свободной мощности (резерве мощности) на соответствующих объектах централизованных систем холодного водоснабжения публикуется в отношении каждой централизованной системы холодного водоснабжения в отдельных строках.</v>
      </c>
      <c r="O16" s="756"/>
      <c r="P16" s="757"/>
      <c r="Q16" s="757"/>
      <c r="R16" s="757"/>
      <c r="S16" s="756"/>
      <c r="T16" s="756"/>
      <c r="U16" s="757"/>
      <c r="V16" s="757"/>
      <c r="W16" s="757"/>
      <c r="X16" s="756"/>
      <c r="Y16" s="910"/>
      <c r="Z16" s="759" t="s">
        <v>1345</v>
      </c>
      <c r="AA16" s="762" t="str">
        <f>"Указывается наличие свободной мощности (резерв мощности) для централизованной системы "&amp;TEMPLATE_SPHERE_RUS&amp;", тариф для которой не является отличным от тарифов других централизованных систем "&amp;TEMPLATE_SPHERE_RUS&amp;" регулируемой организации.
При использовании регулируемой организацией нескольких централизованных систем "&amp;TEMPLATE_SPHERE_RUS&amp;" информация о наличии свободной мощности (резерве мощности) на соответствующих объектах централизованных систем "&amp;TEMPLATE_SPHERE_RUS&amp;" публикуется в отношении каждой централизованной системы "&amp;TEMPLATE_SPHERE_RUS&amp;" в отдельных строках."</f>
        <v>Указывается наличие свободной мощности (резерв мощности) для централизованной системы холодного водоснабжения, тариф для которой не является отличным от тарифов других централизованных систем холодного водоснабжения регулируемой организации.
При использовании регулируемой организацией нескольких централизованных систем холодного водоснабжения информация о наличии свободной мощности (резерве мощности) на соответствующих объектах централизованных систем холодного водоснабжения публикуется в отношении каждой централизованной системы холодного водоснабжения в отдельных строках.</v>
      </c>
      <c r="AB16" s="759"/>
      <c r="AC16" s="759"/>
      <c r="AD16" s="759"/>
    </row>
    <row r="17" spans="1:30" ht="9" customHeight="1">
      <c r="A17" s="814"/>
      <c r="B17" s="814"/>
      <c r="C17" s="814">
        <v>22</v>
      </c>
      <c r="D17" s="814">
        <v>21</v>
      </c>
      <c r="E17" s="814">
        <v>42</v>
      </c>
      <c r="F17" s="814">
        <v>63</v>
      </c>
      <c r="G17" s="814"/>
      <c r="H17" s="814"/>
      <c r="I17" s="814"/>
      <c r="J17" s="814"/>
      <c r="K17" s="814"/>
      <c r="L17" s="814"/>
      <c r="M17" s="814"/>
      <c r="N17" s="814"/>
      <c r="O17" s="814"/>
      <c r="P17" s="814"/>
      <c r="Q17" s="814"/>
      <c r="R17" s="814"/>
      <c r="S17" s="814"/>
      <c r="T17" s="814"/>
      <c r="U17" s="814"/>
      <c r="V17" s="814"/>
      <c r="W17" s="814"/>
      <c r="X17" s="814"/>
      <c r="Y17" s="814"/>
      <c r="Z17" s="814"/>
      <c r="AA17" s="814"/>
      <c r="AB17" s="814"/>
      <c r="AC17" s="814"/>
      <c r="AD17" s="814"/>
    </row>
    <row r="18" spans="1:30" ht="27" customHeight="1">
      <c r="A18" s="758" t="s">
        <v>1057</v>
      </c>
      <c r="B18" s="814">
        <v>1</v>
      </c>
      <c r="C18" s="756" t="s">
        <v>1329</v>
      </c>
      <c r="D18" s="879" t="s">
        <v>1329</v>
      </c>
      <c r="E18" s="756" t="s">
        <v>1329</v>
      </c>
      <c r="F18" s="756" t="s">
        <v>1329</v>
      </c>
      <c r="G18" s="756"/>
      <c r="H18" s="912"/>
      <c r="I18" s="913">
        <f t="shared" ref="I18:I49" si="1">INDEX(TEMPLATE_NUMBER_POINT_FHD,B18,MATCH(TEMPLATE_SPHERE,TEMPLATE_SPHERE_LIST_FOR_NOTE,0))</f>
        <v>1</v>
      </c>
      <c r="J18" s="913" t="str">
        <f t="shared" ref="J18:J49" si="2">INDEX(TEMPLATE_DATA_POINT_FHD,B18,MATCH(TEMPLATE_SPHERE,TEMPLATE_SPHERE_LIST_FOR_NOTE,0))</f>
        <v>Выручка от регулируемых видов деятельности в сфере холодного водоснабжения</v>
      </c>
      <c r="K18" s="913" t="str">
        <f t="shared" ref="K18:K49" si="3">INDEX(TEMPLATE_NOTE_POINT_FHD,B18,MATCH(TEMPLATE_SPHERE,TEMPLATE_SPHERE_LIST_FOR_NOTE,0))</f>
        <v>Указывается выручка с распределением по видам деятельности.</v>
      </c>
      <c r="L18" s="757">
        <f t="shared" ref="L18:L49" si="4">IF(I18=0,"",I18)</f>
        <v>1</v>
      </c>
      <c r="M18" s="757" t="str">
        <f t="shared" ref="M18:M49" si="5">IF(J18=0,"",J18)</f>
        <v>Выручка от регулируемых видов деятельности в сфере холодного водоснабжения</v>
      </c>
      <c r="N18" s="757" t="str">
        <f t="shared" ref="N18:N49" si="6">IF(K18=0,"",K18)</f>
        <v>Указывается выручка с распределением по видам деятельности.</v>
      </c>
      <c r="O18" s="869">
        <v>1</v>
      </c>
      <c r="P18" s="869">
        <v>1</v>
      </c>
      <c r="Q18" s="869">
        <v>1</v>
      </c>
      <c r="R18" s="869">
        <v>1</v>
      </c>
      <c r="S18" s="869"/>
      <c r="T18" s="876" t="s">
        <v>1346</v>
      </c>
      <c r="U18" s="759" t="s">
        <v>1347</v>
      </c>
      <c r="V18" s="759" t="s">
        <v>1348</v>
      </c>
      <c r="W18" s="759" t="s">
        <v>1349</v>
      </c>
      <c r="X18" s="756"/>
      <c r="Y18" s="910"/>
      <c r="Z18" s="759" t="s">
        <v>1350</v>
      </c>
      <c r="AA18" s="762" t="s">
        <v>1351</v>
      </c>
      <c r="AB18" s="762" t="s">
        <v>1351</v>
      </c>
      <c r="AC18" s="762" t="s">
        <v>1351</v>
      </c>
      <c r="AD18" s="759"/>
    </row>
    <row r="19" spans="1:30" ht="36" customHeight="1">
      <c r="A19" s="758"/>
      <c r="B19" s="814">
        <v>2</v>
      </c>
      <c r="C19" s="756" t="s">
        <v>1333</v>
      </c>
      <c r="D19" s="879" t="s">
        <v>1333</v>
      </c>
      <c r="E19" s="756" t="s">
        <v>1333</v>
      </c>
      <c r="F19" s="756" t="s">
        <v>1333</v>
      </c>
      <c r="G19" s="756"/>
      <c r="H19" s="912"/>
      <c r="I19" s="913">
        <f t="shared" si="1"/>
        <v>2</v>
      </c>
      <c r="J19" s="913" t="str">
        <f t="shared" si="2"/>
        <v>Себестоимость производимых товаров (оказываемых услуг) по регулируемым видам деятельности в сфере холодного водоснабжения, включая:</v>
      </c>
      <c r="K19" s="913" t="str">
        <f t="shared" si="3"/>
        <v>Указывается суммарная себестоимость производимых товаров.</v>
      </c>
      <c r="L19" s="757">
        <f t="shared" si="4"/>
        <v>2</v>
      </c>
      <c r="M19" s="757" t="str">
        <f t="shared" si="5"/>
        <v>Себестоимость производимых товаров (оказываемых услуг) по регулируемым видам деятельности в сфере холодного водоснабжения, включая:</v>
      </c>
      <c r="N19" s="757" t="str">
        <f t="shared" si="6"/>
        <v>Указывается суммарная себестоимость производимых товаров.</v>
      </c>
      <c r="O19" s="869">
        <v>2</v>
      </c>
      <c r="P19" s="869">
        <v>2</v>
      </c>
      <c r="Q19" s="869">
        <v>2</v>
      </c>
      <c r="R19" s="869">
        <v>2</v>
      </c>
      <c r="S19" s="869"/>
      <c r="T19" s="876" t="s">
        <v>1352</v>
      </c>
      <c r="U19" s="759" t="s">
        <v>1353</v>
      </c>
      <c r="V19" s="759" t="s">
        <v>1354</v>
      </c>
      <c r="W19" s="759" t="s">
        <v>1355</v>
      </c>
      <c r="X19" s="756"/>
      <c r="Y19" s="910"/>
      <c r="Z19" s="759" t="s">
        <v>1356</v>
      </c>
      <c r="AA19" s="762" t="s">
        <v>1356</v>
      </c>
      <c r="AB19" s="762" t="s">
        <v>1356</v>
      </c>
      <c r="AC19" s="762" t="s">
        <v>1356</v>
      </c>
      <c r="AD19" s="759"/>
    </row>
    <row r="20" spans="1:30" ht="27" customHeight="1">
      <c r="A20" s="758"/>
      <c r="B20" s="814">
        <v>3</v>
      </c>
      <c r="C20" s="756">
        <v>1</v>
      </c>
      <c r="D20" s="879"/>
      <c r="E20" s="756"/>
      <c r="F20" s="756"/>
      <c r="G20" s="756"/>
      <c r="H20" s="912"/>
      <c r="I20" s="913" t="str">
        <f t="shared" si="1"/>
        <v>2.1</v>
      </c>
      <c r="J20" s="913" t="str">
        <f t="shared" si="2"/>
        <v>Расходы на оплату холодной воды, приобретаемой у других организаций для последующей подачи потребителям</v>
      </c>
      <c r="K20" s="913">
        <f t="shared" si="3"/>
        <v>0</v>
      </c>
      <c r="L20" s="757" t="str">
        <f t="shared" si="4"/>
        <v>2.1</v>
      </c>
      <c r="M20" s="757" t="str">
        <f t="shared" si="5"/>
        <v>Расходы на оплату холодной воды, приобретаемой у других организаций для последующей подачи потребителям</v>
      </c>
      <c r="N20" s="757" t="str">
        <f t="shared" si="6"/>
        <v/>
      </c>
      <c r="O20" s="869" t="s">
        <v>454</v>
      </c>
      <c r="P20" s="869" t="s">
        <v>454</v>
      </c>
      <c r="Q20" s="869" t="s">
        <v>454</v>
      </c>
      <c r="R20" s="869" t="s">
        <v>454</v>
      </c>
      <c r="S20" s="869"/>
      <c r="T20" s="876" t="s">
        <v>1357</v>
      </c>
      <c r="U20" s="759" t="s">
        <v>1358</v>
      </c>
      <c r="V20" s="759" t="s">
        <v>1359</v>
      </c>
      <c r="W20" s="759" t="s">
        <v>1360</v>
      </c>
      <c r="X20" s="756"/>
      <c r="Y20" s="910"/>
      <c r="Z20" s="759"/>
      <c r="AA20" s="762"/>
      <c r="AB20" s="759"/>
      <c r="AC20" s="759"/>
      <c r="AD20" s="759"/>
    </row>
    <row r="21" spans="1:30" ht="36" customHeight="1">
      <c r="A21" s="758"/>
      <c r="B21" s="814">
        <v>4</v>
      </c>
      <c r="C21" s="756">
        <v>2</v>
      </c>
      <c r="D21" s="879"/>
      <c r="E21" s="756"/>
      <c r="F21" s="756"/>
      <c r="G21" s="756"/>
      <c r="H21" s="912"/>
      <c r="I21" s="913">
        <f t="shared" si="1"/>
        <v>0</v>
      </c>
      <c r="J21" s="913">
        <f t="shared" si="2"/>
        <v>0</v>
      </c>
      <c r="K21" s="913">
        <f t="shared" si="3"/>
        <v>0</v>
      </c>
      <c r="L21" s="757" t="str">
        <f t="shared" si="4"/>
        <v/>
      </c>
      <c r="M21" s="757" t="str">
        <f t="shared" si="5"/>
        <v/>
      </c>
      <c r="N21" s="757" t="str">
        <f t="shared" si="6"/>
        <v/>
      </c>
      <c r="O21" s="869" t="s">
        <v>298</v>
      </c>
      <c r="P21" s="869"/>
      <c r="Q21" s="869"/>
      <c r="R21" s="869"/>
      <c r="S21" s="869"/>
      <c r="T21" s="876" t="s">
        <v>1361</v>
      </c>
      <c r="U21" s="759"/>
      <c r="V21" s="759"/>
      <c r="W21" s="759"/>
      <c r="X21" s="756"/>
      <c r="Y21" s="910"/>
      <c r="Z21" s="759" t="s">
        <v>1362</v>
      </c>
      <c r="AA21" s="762"/>
      <c r="AB21" s="759"/>
      <c r="AC21" s="759"/>
      <c r="AD21" s="759"/>
    </row>
    <row r="22" spans="1:30" ht="36" customHeight="1">
      <c r="A22" s="758"/>
      <c r="B22" s="814">
        <v>5</v>
      </c>
      <c r="C22" s="756">
        <v>3</v>
      </c>
      <c r="D22" s="879"/>
      <c r="E22" s="756"/>
      <c r="F22" s="756"/>
      <c r="G22" s="806"/>
      <c r="H22" s="870"/>
      <c r="I22" s="913">
        <f t="shared" si="1"/>
        <v>0</v>
      </c>
      <c r="J22" s="913">
        <f t="shared" si="2"/>
        <v>0</v>
      </c>
      <c r="K22" s="913">
        <f t="shared" si="3"/>
        <v>0</v>
      </c>
      <c r="L22" s="757" t="str">
        <f t="shared" si="4"/>
        <v/>
      </c>
      <c r="M22" s="757" t="str">
        <f t="shared" si="5"/>
        <v/>
      </c>
      <c r="N22" s="757" t="str">
        <f t="shared" si="6"/>
        <v/>
      </c>
      <c r="O22" s="869"/>
      <c r="P22" s="869"/>
      <c r="Q22" s="869" t="s">
        <v>298</v>
      </c>
      <c r="R22" s="869"/>
      <c r="S22" s="869"/>
      <c r="T22" s="876"/>
      <c r="U22" s="759"/>
      <c r="V22" s="759" t="s">
        <v>1363</v>
      </c>
      <c r="W22" s="759"/>
      <c r="X22" s="756"/>
      <c r="Y22" s="910"/>
      <c r="Z22" s="759"/>
      <c r="AA22" s="762"/>
      <c r="AB22" s="759"/>
      <c r="AC22" s="759"/>
      <c r="AD22" s="759"/>
    </row>
    <row r="23" spans="1:30" ht="27" customHeight="1">
      <c r="A23" s="758"/>
      <c r="B23" s="814">
        <v>6</v>
      </c>
      <c r="C23" s="756">
        <v>4</v>
      </c>
      <c r="D23" s="879"/>
      <c r="E23" s="756"/>
      <c r="F23" s="756"/>
      <c r="G23" s="806"/>
      <c r="H23" s="870"/>
      <c r="I23" s="913">
        <f t="shared" si="1"/>
        <v>0</v>
      </c>
      <c r="J23" s="913">
        <f t="shared" si="2"/>
        <v>0</v>
      </c>
      <c r="K23" s="913">
        <f t="shared" si="3"/>
        <v>0</v>
      </c>
      <c r="L23" s="757" t="str">
        <f t="shared" si="4"/>
        <v/>
      </c>
      <c r="M23" s="757" t="str">
        <f t="shared" si="5"/>
        <v/>
      </c>
      <c r="N23" s="757" t="str">
        <f t="shared" si="6"/>
        <v/>
      </c>
      <c r="O23" s="869"/>
      <c r="P23" s="869"/>
      <c r="Q23" s="869" t="s">
        <v>301</v>
      </c>
      <c r="R23" s="869"/>
      <c r="S23" s="869"/>
      <c r="T23" s="876"/>
      <c r="U23" s="759"/>
      <c r="V23" s="759" t="s">
        <v>1364</v>
      </c>
      <c r="W23" s="759"/>
      <c r="X23" s="756"/>
      <c r="Y23" s="910"/>
      <c r="Z23" s="759"/>
      <c r="AA23" s="762"/>
      <c r="AB23" s="759"/>
      <c r="AC23" s="759"/>
      <c r="AD23" s="759"/>
    </row>
    <row r="24" spans="1:30" ht="36" customHeight="1">
      <c r="A24" s="758"/>
      <c r="B24" s="814">
        <v>7</v>
      </c>
      <c r="C24" s="756">
        <v>5</v>
      </c>
      <c r="D24" s="879"/>
      <c r="E24" s="756"/>
      <c r="F24" s="756"/>
      <c r="G24" s="806"/>
      <c r="H24" s="870"/>
      <c r="I24" s="913">
        <f t="shared" si="1"/>
        <v>0</v>
      </c>
      <c r="J24" s="913">
        <f t="shared" si="2"/>
        <v>0</v>
      </c>
      <c r="K24" s="913">
        <f t="shared" si="3"/>
        <v>0</v>
      </c>
      <c r="L24" s="757" t="str">
        <f t="shared" si="4"/>
        <v/>
      </c>
      <c r="M24" s="757" t="str">
        <f t="shared" si="5"/>
        <v/>
      </c>
      <c r="N24" s="757" t="str">
        <f t="shared" si="6"/>
        <v/>
      </c>
      <c r="O24" s="869"/>
      <c r="P24" s="869"/>
      <c r="Q24" s="869" t="s">
        <v>1365</v>
      </c>
      <c r="R24" s="869"/>
      <c r="S24" s="869"/>
      <c r="T24" s="876"/>
      <c r="U24" s="759"/>
      <c r="V24" s="759" t="s">
        <v>1366</v>
      </c>
      <c r="W24" s="759"/>
      <c r="X24" s="756"/>
      <c r="Y24" s="910"/>
      <c r="Z24" s="759"/>
      <c r="AA24" s="762"/>
      <c r="AB24" s="759"/>
      <c r="AC24" s="759"/>
      <c r="AD24" s="759"/>
    </row>
    <row r="25" spans="1:30" ht="36" customHeight="1">
      <c r="A25" s="758"/>
      <c r="B25" s="814">
        <v>8</v>
      </c>
      <c r="C25" s="756">
        <v>6</v>
      </c>
      <c r="D25" s="879"/>
      <c r="E25" s="756"/>
      <c r="F25" s="756"/>
      <c r="G25" s="806"/>
      <c r="H25" s="870"/>
      <c r="I25" s="913" t="str">
        <f t="shared" si="1"/>
        <v>2.2</v>
      </c>
      <c r="J25" s="913" t="str">
        <f t="shared" si="2"/>
        <v>Расходы на приобретаемую электрическую энергию (мощность), используемую в технологическом процессе</v>
      </c>
      <c r="K25" s="913">
        <f t="shared" si="3"/>
        <v>0</v>
      </c>
      <c r="L25" s="757" t="str">
        <f t="shared" si="4"/>
        <v>2.2</v>
      </c>
      <c r="M25" s="757" t="str">
        <f t="shared" si="5"/>
        <v>Расходы на приобретаемую электрическую энергию (мощность), используемую в технологическом процессе</v>
      </c>
      <c r="N25" s="757" t="str">
        <f t="shared" si="6"/>
        <v/>
      </c>
      <c r="O25" s="869" t="s">
        <v>301</v>
      </c>
      <c r="P25" s="869" t="s">
        <v>298</v>
      </c>
      <c r="Q25" s="869" t="s">
        <v>1367</v>
      </c>
      <c r="R25" s="869" t="s">
        <v>298</v>
      </c>
      <c r="S25" s="869"/>
      <c r="T25" s="876" t="s">
        <v>1368</v>
      </c>
      <c r="U25" s="759" t="s">
        <v>1368</v>
      </c>
      <c r="V25" s="759" t="s">
        <v>1368</v>
      </c>
      <c r="W25" s="759" t="s">
        <v>1368</v>
      </c>
      <c r="X25" s="756"/>
      <c r="Y25" s="910"/>
      <c r="Z25" s="759"/>
      <c r="AA25" s="762"/>
      <c r="AB25" s="759"/>
      <c r="AC25" s="759"/>
      <c r="AD25" s="759"/>
    </row>
    <row r="26" spans="1:30" ht="18" customHeight="1">
      <c r="A26" s="758"/>
      <c r="B26" s="814">
        <v>9</v>
      </c>
      <c r="C26" s="756" t="s">
        <v>1369</v>
      </c>
      <c r="D26" s="879"/>
      <c r="E26" s="756"/>
      <c r="F26" s="756"/>
      <c r="G26" s="806"/>
      <c r="H26" s="870"/>
      <c r="I26" s="913" t="str">
        <f t="shared" si="1"/>
        <v>2.2.1</v>
      </c>
      <c r="J26" s="913" t="str">
        <f t="shared" si="2"/>
        <v>Средневзвешенная стоимость 1 кВт.ч (с учетом мощности)</v>
      </c>
      <c r="K26" s="913">
        <f t="shared" si="3"/>
        <v>0</v>
      </c>
      <c r="L26" s="757" t="str">
        <f t="shared" si="4"/>
        <v>2.2.1</v>
      </c>
      <c r="M26" s="757" t="str">
        <f t="shared" si="5"/>
        <v>Средневзвешенная стоимость 1 кВт.ч (с учетом мощности)</v>
      </c>
      <c r="N26" s="757" t="str">
        <f t="shared" si="6"/>
        <v/>
      </c>
      <c r="O26" s="869" t="s">
        <v>1370</v>
      </c>
      <c r="P26" s="869" t="s">
        <v>1371</v>
      </c>
      <c r="Q26" s="869" t="s">
        <v>1372</v>
      </c>
      <c r="R26" s="869" t="s">
        <v>1371</v>
      </c>
      <c r="S26" s="869"/>
      <c r="T26" s="876" t="s">
        <v>1373</v>
      </c>
      <c r="U26" s="876" t="s">
        <v>1373</v>
      </c>
      <c r="V26" s="876" t="s">
        <v>1373</v>
      </c>
      <c r="W26" s="876" t="s">
        <v>1373</v>
      </c>
      <c r="X26" s="756"/>
      <c r="Y26" s="910"/>
      <c r="Z26" s="759"/>
      <c r="AA26" s="762"/>
      <c r="AB26" s="759"/>
      <c r="AC26" s="759"/>
      <c r="AD26" s="759"/>
    </row>
    <row r="27" spans="1:30" ht="18" customHeight="1">
      <c r="A27" s="758"/>
      <c r="B27" s="814">
        <v>10</v>
      </c>
      <c r="C27" s="756" t="s">
        <v>1374</v>
      </c>
      <c r="D27" s="879"/>
      <c r="E27" s="756"/>
      <c r="F27" s="756"/>
      <c r="G27" s="806"/>
      <c r="H27" s="870"/>
      <c r="I27" s="913" t="str">
        <f t="shared" si="1"/>
        <v>2.2.2</v>
      </c>
      <c r="J27" s="913" t="str">
        <f t="shared" si="2"/>
        <v>Объём приобретения электрической энергии</v>
      </c>
      <c r="K27" s="913">
        <f t="shared" si="3"/>
        <v>0</v>
      </c>
      <c r="L27" s="757" t="str">
        <f t="shared" si="4"/>
        <v>2.2.2</v>
      </c>
      <c r="M27" s="757" t="str">
        <f t="shared" si="5"/>
        <v>Объём приобретения электрической энергии</v>
      </c>
      <c r="N27" s="757" t="str">
        <f t="shared" si="6"/>
        <v/>
      </c>
      <c r="O27" s="869" t="s">
        <v>1375</v>
      </c>
      <c r="P27" s="869" t="s">
        <v>1376</v>
      </c>
      <c r="Q27" s="869" t="s">
        <v>1377</v>
      </c>
      <c r="R27" s="869" t="s">
        <v>1376</v>
      </c>
      <c r="S27" s="869"/>
      <c r="T27" s="876" t="s">
        <v>1378</v>
      </c>
      <c r="U27" s="876" t="s">
        <v>1378</v>
      </c>
      <c r="V27" s="876" t="s">
        <v>1378</v>
      </c>
      <c r="W27" s="876" t="s">
        <v>1378</v>
      </c>
      <c r="X27" s="756"/>
      <c r="Y27" s="910"/>
      <c r="Z27" s="759"/>
      <c r="AA27" s="762"/>
      <c r="AB27" s="759"/>
      <c r="AC27" s="759"/>
      <c r="AD27" s="759"/>
    </row>
    <row r="28" spans="1:30" ht="27" customHeight="1">
      <c r="A28" s="758"/>
      <c r="B28" s="814">
        <v>11</v>
      </c>
      <c r="C28" s="756">
        <v>7</v>
      </c>
      <c r="D28" s="879"/>
      <c r="E28" s="756"/>
      <c r="F28" s="756"/>
      <c r="G28" s="806"/>
      <c r="H28" s="870"/>
      <c r="I28" s="913">
        <f t="shared" si="1"/>
        <v>0</v>
      </c>
      <c r="J28" s="913">
        <f t="shared" si="2"/>
        <v>0</v>
      </c>
      <c r="K28" s="913">
        <f t="shared" si="3"/>
        <v>0</v>
      </c>
      <c r="L28" s="757" t="str">
        <f t="shared" si="4"/>
        <v/>
      </c>
      <c r="M28" s="757" t="str">
        <f t="shared" si="5"/>
        <v/>
      </c>
      <c r="N28" s="757" t="str">
        <f t="shared" si="6"/>
        <v/>
      </c>
      <c r="O28" s="869" t="s">
        <v>1365</v>
      </c>
      <c r="P28" s="869"/>
      <c r="Q28" s="869"/>
      <c r="R28" s="869"/>
      <c r="S28" s="869"/>
      <c r="T28" s="876" t="s">
        <v>1379</v>
      </c>
      <c r="U28" s="759"/>
      <c r="V28" s="759"/>
      <c r="W28" s="759"/>
      <c r="X28" s="756"/>
      <c r="Y28" s="910"/>
      <c r="Z28" s="759"/>
      <c r="AA28" s="762"/>
      <c r="AB28" s="759"/>
      <c r="AC28" s="759"/>
      <c r="AD28" s="759"/>
    </row>
    <row r="29" spans="1:30" ht="27" customHeight="1">
      <c r="A29" s="758"/>
      <c r="B29" s="814">
        <v>12</v>
      </c>
      <c r="C29" s="756">
        <v>8</v>
      </c>
      <c r="D29" s="879"/>
      <c r="E29" s="756"/>
      <c r="F29" s="756"/>
      <c r="G29" s="806"/>
      <c r="H29" s="870"/>
      <c r="I29" s="913" t="str">
        <f t="shared" si="1"/>
        <v>2.3</v>
      </c>
      <c r="J29" s="913" t="str">
        <f t="shared" si="2"/>
        <v>Расходы на химические реагенты, используемые в технологическом процессе</v>
      </c>
      <c r="K29" s="913">
        <f t="shared" si="3"/>
        <v>0</v>
      </c>
      <c r="L29" s="757" t="str">
        <f t="shared" si="4"/>
        <v>2.3</v>
      </c>
      <c r="M29" s="757" t="str">
        <f t="shared" si="5"/>
        <v>Расходы на химические реагенты, используемые в технологическом процессе</v>
      </c>
      <c r="N29" s="757" t="str">
        <f t="shared" si="6"/>
        <v/>
      </c>
      <c r="O29" s="869" t="s">
        <v>1367</v>
      </c>
      <c r="P29" s="869" t="s">
        <v>301</v>
      </c>
      <c r="Q29" s="869"/>
      <c r="R29" s="869" t="s">
        <v>301</v>
      </c>
      <c r="S29" s="869"/>
      <c r="T29" s="876" t="s">
        <v>1380</v>
      </c>
      <c r="U29" s="759" t="s">
        <v>1380</v>
      </c>
      <c r="V29" s="759"/>
      <c r="W29" s="759" t="s">
        <v>1380</v>
      </c>
      <c r="X29" s="756"/>
      <c r="Y29" s="910"/>
      <c r="Z29" s="759"/>
      <c r="AA29" s="762"/>
      <c r="AB29" s="759"/>
      <c r="AC29" s="759"/>
      <c r="AD29" s="759"/>
    </row>
    <row r="30" spans="1:30" ht="54" customHeight="1">
      <c r="A30" s="758"/>
      <c r="B30" s="814">
        <v>13</v>
      </c>
      <c r="C30" s="756">
        <v>9</v>
      </c>
      <c r="D30" s="879"/>
      <c r="E30" s="756"/>
      <c r="F30" s="756"/>
      <c r="G30" s="806"/>
      <c r="H30" s="870"/>
      <c r="I30" s="913" t="str">
        <f t="shared" si="1"/>
        <v>2.4</v>
      </c>
      <c r="J30" s="913" t="str">
        <f t="shared" si="2"/>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K30" s="913" t="str">
        <f t="shared" si="3"/>
        <v>Указывается общая сумма расходов на оплату труда и отчислений на социальные нужды основного производственного персонала.</v>
      </c>
      <c r="L30" s="757" t="str">
        <f t="shared" si="4"/>
        <v>2.4</v>
      </c>
      <c r="M30" s="757" t="str">
        <f t="shared" si="5"/>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N30" s="757" t="str">
        <f t="shared" si="6"/>
        <v>Указывается общая сумма расходов на оплату труда и отчислений на социальные нужды основного производственного персонала.</v>
      </c>
      <c r="O30" s="869" t="s">
        <v>1381</v>
      </c>
      <c r="P30" s="869" t="s">
        <v>1365</v>
      </c>
      <c r="Q30" s="869" t="s">
        <v>1381</v>
      </c>
      <c r="R30" s="869" t="s">
        <v>1365</v>
      </c>
      <c r="S30" s="869"/>
      <c r="T30" s="876" t="s">
        <v>1382</v>
      </c>
      <c r="U30" s="759" t="s">
        <v>1382</v>
      </c>
      <c r="V30" s="759" t="s">
        <v>1382</v>
      </c>
      <c r="W30" s="759" t="s">
        <v>1382</v>
      </c>
      <c r="X30" s="756"/>
      <c r="Y30" s="910"/>
      <c r="Z30" s="759"/>
      <c r="AA30" s="762" t="s">
        <v>1383</v>
      </c>
      <c r="AB30" s="762" t="s">
        <v>1383</v>
      </c>
      <c r="AC30" s="762" t="s">
        <v>1383</v>
      </c>
      <c r="AD30" s="759"/>
    </row>
    <row r="31" spans="1:30" ht="18" customHeight="1">
      <c r="A31" s="758"/>
      <c r="B31" s="814">
        <v>14</v>
      </c>
      <c r="C31" s="756" t="s">
        <v>1384</v>
      </c>
      <c r="D31" s="879"/>
      <c r="E31" s="756"/>
      <c r="F31" s="756"/>
      <c r="G31" s="806"/>
      <c r="H31" s="870"/>
      <c r="I31" s="913" t="str">
        <f t="shared" si="1"/>
        <v>2.4.1</v>
      </c>
      <c r="J31" s="913" t="str">
        <f t="shared" si="2"/>
        <v>Расходы на оплату труда основного производственного персонала</v>
      </c>
      <c r="K31" s="913">
        <f t="shared" si="3"/>
        <v>0</v>
      </c>
      <c r="L31" s="757" t="str">
        <f t="shared" si="4"/>
        <v>2.4.1</v>
      </c>
      <c r="M31" s="757" t="str">
        <f t="shared" si="5"/>
        <v>Расходы на оплату труда основного производственного персонала</v>
      </c>
      <c r="N31" s="757" t="str">
        <f t="shared" si="6"/>
        <v/>
      </c>
      <c r="O31" s="869" t="s">
        <v>1385</v>
      </c>
      <c r="P31" s="869" t="s">
        <v>1386</v>
      </c>
      <c r="Q31" s="869" t="s">
        <v>1385</v>
      </c>
      <c r="R31" s="869" t="s">
        <v>1386</v>
      </c>
      <c r="S31" s="869"/>
      <c r="T31" s="877" t="s">
        <v>1387</v>
      </c>
      <c r="U31" s="759" t="s">
        <v>1387</v>
      </c>
      <c r="V31" s="759" t="s">
        <v>1387</v>
      </c>
      <c r="W31" s="759" t="s">
        <v>1387</v>
      </c>
      <c r="X31" s="756"/>
      <c r="Y31" s="910"/>
      <c r="Z31" s="759"/>
      <c r="AA31" s="762"/>
      <c r="AB31" s="762"/>
      <c r="AC31" s="762"/>
      <c r="AD31" s="759"/>
    </row>
    <row r="32" spans="1:30" ht="36" customHeight="1">
      <c r="A32" s="758"/>
      <c r="B32" s="814">
        <v>15</v>
      </c>
      <c r="C32" s="756" t="s">
        <v>1388</v>
      </c>
      <c r="D32" s="879"/>
      <c r="E32" s="756"/>
      <c r="F32" s="756"/>
      <c r="G32" s="806"/>
      <c r="H32" s="870"/>
      <c r="I32" s="913" t="str">
        <f t="shared" si="1"/>
        <v>2.4.2</v>
      </c>
      <c r="J32" s="913" t="str">
        <f t="shared" si="2"/>
        <v>Страховые взносы на обязательное социальное страхование, выплачиваемые из фонда оплаты труда основного производственного персонала</v>
      </c>
      <c r="K32" s="913">
        <f t="shared" si="3"/>
        <v>0</v>
      </c>
      <c r="L32" s="757" t="str">
        <f t="shared" si="4"/>
        <v>2.4.2</v>
      </c>
      <c r="M32" s="757" t="str">
        <f t="shared" si="5"/>
        <v>Страховые взносы на обязательное социальное страхование, выплачиваемые из фонда оплаты труда основного производственного персонала</v>
      </c>
      <c r="N32" s="757" t="str">
        <f t="shared" si="6"/>
        <v/>
      </c>
      <c r="O32" s="869" t="s">
        <v>1389</v>
      </c>
      <c r="P32" s="869" t="s">
        <v>1390</v>
      </c>
      <c r="Q32" s="869" t="s">
        <v>1389</v>
      </c>
      <c r="R32" s="869" t="s">
        <v>1390</v>
      </c>
      <c r="S32" s="869"/>
      <c r="T32" s="878" t="s">
        <v>1391</v>
      </c>
      <c r="U32" s="759" t="s">
        <v>1391</v>
      </c>
      <c r="V32" s="759" t="s">
        <v>1391</v>
      </c>
      <c r="W32" s="759" t="s">
        <v>1391</v>
      </c>
      <c r="X32" s="756"/>
      <c r="Y32" s="910"/>
      <c r="Z32" s="759"/>
      <c r="AA32" s="762"/>
      <c r="AB32" s="762"/>
      <c r="AC32" s="762"/>
      <c r="AD32" s="759"/>
    </row>
    <row r="33" spans="1:30" ht="45" customHeight="1">
      <c r="A33" s="758"/>
      <c r="B33" s="814">
        <v>16</v>
      </c>
      <c r="C33" s="756">
        <v>10</v>
      </c>
      <c r="D33" s="879"/>
      <c r="E33" s="756"/>
      <c r="F33" s="756"/>
      <c r="G33" s="806"/>
      <c r="H33" s="870"/>
      <c r="I33" s="913" t="str">
        <f t="shared" si="1"/>
        <v>2.5</v>
      </c>
      <c r="J33" s="913" t="str">
        <f t="shared" si="2"/>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K33" s="913" t="str">
        <f t="shared" si="3"/>
        <v>Указывается общая сумма расходов на оплату труда и отчислений на социальные нужды административно-управленческого персонала.</v>
      </c>
      <c r="L33" s="757" t="str">
        <f t="shared" si="4"/>
        <v>2.5</v>
      </c>
      <c r="M33" s="757" t="str">
        <f t="shared" si="5"/>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N33" s="757" t="str">
        <f t="shared" si="6"/>
        <v>Указывается общая сумма расходов на оплату труда и отчислений на социальные нужды административно-управленческого персонала.</v>
      </c>
      <c r="O33" s="869" t="s">
        <v>1392</v>
      </c>
      <c r="P33" s="869" t="s">
        <v>1367</v>
      </c>
      <c r="Q33" s="869" t="s">
        <v>1392</v>
      </c>
      <c r="R33" s="869" t="s">
        <v>1367</v>
      </c>
      <c r="S33" s="869"/>
      <c r="T33" s="877" t="s">
        <v>1393</v>
      </c>
      <c r="U33" s="759" t="s">
        <v>1393</v>
      </c>
      <c r="V33" s="759" t="s">
        <v>1393</v>
      </c>
      <c r="W33" s="759" t="s">
        <v>1394</v>
      </c>
      <c r="X33" s="756"/>
      <c r="Y33" s="910"/>
      <c r="Z33" s="759"/>
      <c r="AA33" s="762" t="s">
        <v>1395</v>
      </c>
      <c r="AB33" s="762" t="s">
        <v>1395</v>
      </c>
      <c r="AC33" s="762" t="s">
        <v>1395</v>
      </c>
      <c r="AD33" s="759"/>
    </row>
    <row r="34" spans="1:30" ht="27" customHeight="1">
      <c r="A34" s="758"/>
      <c r="B34" s="814">
        <v>17</v>
      </c>
      <c r="C34" s="756" t="s">
        <v>1396</v>
      </c>
      <c r="D34" s="879"/>
      <c r="E34" s="756"/>
      <c r="F34" s="756"/>
      <c r="G34" s="806"/>
      <c r="H34" s="870"/>
      <c r="I34" s="913" t="str">
        <f t="shared" si="1"/>
        <v>2.5.1</v>
      </c>
      <c r="J34" s="913" t="str">
        <f t="shared" si="2"/>
        <v>Расходы на оплату труда административно-управленческого персонала</v>
      </c>
      <c r="K34" s="913">
        <f t="shared" si="3"/>
        <v>0</v>
      </c>
      <c r="L34" s="757" t="str">
        <f t="shared" si="4"/>
        <v>2.5.1</v>
      </c>
      <c r="M34" s="757" t="str">
        <f t="shared" si="5"/>
        <v>Расходы на оплату труда административно-управленческого персонала</v>
      </c>
      <c r="N34" s="757" t="str">
        <f t="shared" si="6"/>
        <v/>
      </c>
      <c r="O34" s="869" t="s">
        <v>1397</v>
      </c>
      <c r="P34" s="869" t="s">
        <v>1372</v>
      </c>
      <c r="Q34" s="869" t="s">
        <v>1397</v>
      </c>
      <c r="R34" s="869" t="s">
        <v>1372</v>
      </c>
      <c r="S34" s="869"/>
      <c r="T34" s="878" t="s">
        <v>1398</v>
      </c>
      <c r="U34" s="759" t="s">
        <v>1398</v>
      </c>
      <c r="V34" s="759" t="s">
        <v>1398</v>
      </c>
      <c r="W34" s="759" t="s">
        <v>1399</v>
      </c>
      <c r="X34" s="756"/>
      <c r="Y34" s="910"/>
      <c r="Z34" s="759"/>
      <c r="AA34" s="762"/>
      <c r="AB34" s="759"/>
      <c r="AC34" s="759"/>
      <c r="AD34" s="759"/>
    </row>
    <row r="35" spans="1:30" ht="45" customHeight="1">
      <c r="A35" s="758"/>
      <c r="B35" s="814">
        <v>18</v>
      </c>
      <c r="C35" s="756" t="s">
        <v>1400</v>
      </c>
      <c r="D35" s="879"/>
      <c r="E35" s="756"/>
      <c r="F35" s="756"/>
      <c r="G35" s="806"/>
      <c r="H35" s="870"/>
      <c r="I35" s="913" t="str">
        <f t="shared" si="1"/>
        <v>2.5.2</v>
      </c>
      <c r="J35" s="913" t="str">
        <f t="shared" si="2"/>
        <v>Страховые взносы на обязательное социальное страхование, выплачиваемые из фонда оплаты труда административно-управленческого персонала</v>
      </c>
      <c r="K35" s="913">
        <f t="shared" si="3"/>
        <v>0</v>
      </c>
      <c r="L35" s="757" t="str">
        <f t="shared" si="4"/>
        <v>2.5.2</v>
      </c>
      <c r="M35" s="757" t="str">
        <f t="shared" si="5"/>
        <v>Страховые взносы на обязательное социальное страхование, выплачиваемые из фонда оплаты труда административно-управленческого персонала</v>
      </c>
      <c r="N35" s="757" t="str">
        <f t="shared" si="6"/>
        <v/>
      </c>
      <c r="O35" s="869" t="s">
        <v>1401</v>
      </c>
      <c r="P35" s="869" t="s">
        <v>1377</v>
      </c>
      <c r="Q35" s="869" t="s">
        <v>1401</v>
      </c>
      <c r="R35" s="869" t="s">
        <v>1377</v>
      </c>
      <c r="S35" s="869"/>
      <c r="T35" s="876" t="s">
        <v>1402</v>
      </c>
      <c r="U35" s="759" t="s">
        <v>1402</v>
      </c>
      <c r="V35" s="759" t="s">
        <v>1402</v>
      </c>
      <c r="W35" s="759" t="s">
        <v>1402</v>
      </c>
      <c r="X35" s="756"/>
      <c r="Y35" s="910"/>
      <c r="Z35" s="759"/>
      <c r="AA35" s="762"/>
      <c r="AB35" s="759"/>
      <c r="AC35" s="759"/>
      <c r="AD35" s="759"/>
    </row>
    <row r="36" spans="1:30" ht="18" customHeight="1">
      <c r="A36" s="758"/>
      <c r="B36" s="814">
        <v>19</v>
      </c>
      <c r="C36" s="756">
        <v>11</v>
      </c>
      <c r="D36" s="879"/>
      <c r="E36" s="756"/>
      <c r="F36" s="756"/>
      <c r="G36" s="806"/>
      <c r="H36" s="870"/>
      <c r="I36" s="913" t="str">
        <f t="shared" si="1"/>
        <v>2.6</v>
      </c>
      <c r="J36" s="913" t="str">
        <f t="shared" si="2"/>
        <v>Расходы на амортизацию основных средств и нематериальных активов</v>
      </c>
      <c r="K36" s="913">
        <f t="shared" si="3"/>
        <v>0</v>
      </c>
      <c r="L36" s="757" t="str">
        <f t="shared" si="4"/>
        <v>2.6</v>
      </c>
      <c r="M36" s="757" t="str">
        <f t="shared" si="5"/>
        <v>Расходы на амортизацию основных средств и нематериальных активов</v>
      </c>
      <c r="N36" s="757" t="str">
        <f t="shared" si="6"/>
        <v/>
      </c>
      <c r="O36" s="869" t="s">
        <v>1403</v>
      </c>
      <c r="P36" s="869" t="s">
        <v>1381</v>
      </c>
      <c r="Q36" s="869" t="s">
        <v>1403</v>
      </c>
      <c r="R36" s="869" t="s">
        <v>1381</v>
      </c>
      <c r="S36" s="869"/>
      <c r="T36" s="876" t="s">
        <v>1404</v>
      </c>
      <c r="U36" s="759" t="s">
        <v>1404</v>
      </c>
      <c r="V36" s="759" t="s">
        <v>1404</v>
      </c>
      <c r="W36" s="759" t="s">
        <v>1404</v>
      </c>
      <c r="X36" s="756"/>
      <c r="Y36" s="910"/>
      <c r="Z36" s="759"/>
      <c r="AA36" s="762"/>
      <c r="AB36" s="759"/>
      <c r="AC36" s="759"/>
      <c r="AD36" s="759"/>
    </row>
    <row r="37" spans="1:30" ht="18" customHeight="1">
      <c r="A37" s="758"/>
      <c r="B37" s="814">
        <v>20</v>
      </c>
      <c r="C37" s="756" t="s">
        <v>1405</v>
      </c>
      <c r="D37" s="879"/>
      <c r="E37" s="756"/>
      <c r="F37" s="756"/>
      <c r="G37" s="806"/>
      <c r="H37" s="870"/>
      <c r="I37" s="913" t="str">
        <f t="shared" si="1"/>
        <v>2.6.1</v>
      </c>
      <c r="J37" s="913" t="str">
        <f t="shared" si="2"/>
        <v>Расходы на амортизацию основных средств</v>
      </c>
      <c r="K37" s="913">
        <f t="shared" si="3"/>
        <v>0</v>
      </c>
      <c r="L37" s="757" t="str">
        <f t="shared" si="4"/>
        <v>2.6.1</v>
      </c>
      <c r="M37" s="757" t="str">
        <f t="shared" si="5"/>
        <v>Расходы на амортизацию основных средств</v>
      </c>
      <c r="N37" s="757" t="str">
        <f t="shared" si="6"/>
        <v/>
      </c>
      <c r="O37" s="869" t="s">
        <v>1406</v>
      </c>
      <c r="P37" s="869" t="s">
        <v>1385</v>
      </c>
      <c r="Q37" s="869" t="s">
        <v>1406</v>
      </c>
      <c r="R37" s="869" t="s">
        <v>1385</v>
      </c>
      <c r="S37" s="869"/>
      <c r="T37" s="876" t="s">
        <v>1407</v>
      </c>
      <c r="U37" s="759" t="s">
        <v>1407</v>
      </c>
      <c r="V37" s="759" t="s">
        <v>1407</v>
      </c>
      <c r="W37" s="759" t="s">
        <v>1407</v>
      </c>
      <c r="X37" s="756"/>
      <c r="Y37" s="910"/>
      <c r="Z37" s="759"/>
      <c r="AA37" s="762"/>
      <c r="AB37" s="759"/>
      <c r="AC37" s="759"/>
      <c r="AD37" s="759"/>
    </row>
    <row r="38" spans="1:30" ht="18" customHeight="1">
      <c r="A38" s="758"/>
      <c r="B38" s="814">
        <v>21</v>
      </c>
      <c r="C38" s="756" t="s">
        <v>1408</v>
      </c>
      <c r="D38" s="879"/>
      <c r="E38" s="756"/>
      <c r="F38" s="756"/>
      <c r="G38" s="806"/>
      <c r="H38" s="870"/>
      <c r="I38" s="913" t="str">
        <f t="shared" si="1"/>
        <v>2.6.2</v>
      </c>
      <c r="J38" s="913" t="str">
        <f t="shared" si="2"/>
        <v>Расходы на амортизацию нематериальных активов</v>
      </c>
      <c r="K38" s="913">
        <f t="shared" si="3"/>
        <v>0</v>
      </c>
      <c r="L38" s="757" t="str">
        <f t="shared" si="4"/>
        <v>2.6.2</v>
      </c>
      <c r="M38" s="757" t="str">
        <f t="shared" si="5"/>
        <v>Расходы на амортизацию нематериальных активов</v>
      </c>
      <c r="N38" s="757" t="str">
        <f t="shared" si="6"/>
        <v/>
      </c>
      <c r="O38" s="869" t="s">
        <v>1409</v>
      </c>
      <c r="P38" s="869" t="s">
        <v>1389</v>
      </c>
      <c r="Q38" s="869" t="s">
        <v>1409</v>
      </c>
      <c r="R38" s="869" t="s">
        <v>1389</v>
      </c>
      <c r="S38" s="869"/>
      <c r="T38" s="876" t="s">
        <v>1410</v>
      </c>
      <c r="U38" s="759" t="s">
        <v>1410</v>
      </c>
      <c r="V38" s="759" t="s">
        <v>1410</v>
      </c>
      <c r="W38" s="759" t="s">
        <v>1410</v>
      </c>
      <c r="X38" s="756"/>
      <c r="Y38" s="910"/>
      <c r="Z38" s="759"/>
      <c r="AA38" s="762"/>
      <c r="AB38" s="759"/>
      <c r="AC38" s="759"/>
      <c r="AD38" s="759"/>
    </row>
    <row r="39" spans="1:30" ht="36" customHeight="1">
      <c r="A39" s="758"/>
      <c r="B39" s="814">
        <v>22</v>
      </c>
      <c r="C39" s="756">
        <v>12</v>
      </c>
      <c r="D39" s="879"/>
      <c r="E39" s="756"/>
      <c r="F39" s="756"/>
      <c r="G39" s="806"/>
      <c r="H39" s="870"/>
      <c r="I39" s="913" t="str">
        <f t="shared" si="1"/>
        <v>2.7</v>
      </c>
      <c r="J39" s="913" t="str">
        <f t="shared" si="2"/>
        <v>Расходы на аренду имущества, используемого для осуществления регулируемых видов деятельности в сфере холодного водоснабжения</v>
      </c>
      <c r="K39" s="913">
        <f t="shared" si="3"/>
        <v>0</v>
      </c>
      <c r="L39" s="757" t="str">
        <f t="shared" si="4"/>
        <v>2.7</v>
      </c>
      <c r="M39" s="757" t="str">
        <f t="shared" si="5"/>
        <v>Расходы на аренду имущества, используемого для осуществления регулируемых видов деятельности в сфере холодного водоснабжения</v>
      </c>
      <c r="N39" s="757" t="str">
        <f t="shared" si="6"/>
        <v/>
      </c>
      <c r="O39" s="869" t="s">
        <v>1411</v>
      </c>
      <c r="P39" s="869" t="s">
        <v>1392</v>
      </c>
      <c r="Q39" s="869" t="s">
        <v>1411</v>
      </c>
      <c r="R39" s="869" t="s">
        <v>1392</v>
      </c>
      <c r="S39" s="869"/>
      <c r="T39" s="876" t="s">
        <v>1412</v>
      </c>
      <c r="U39" s="759" t="s">
        <v>1413</v>
      </c>
      <c r="V39" s="759" t="s">
        <v>1414</v>
      </c>
      <c r="W39" s="759" t="s">
        <v>1415</v>
      </c>
      <c r="X39" s="756"/>
      <c r="Y39" s="910"/>
      <c r="Z39" s="759"/>
      <c r="AA39" s="762"/>
      <c r="AB39" s="759"/>
      <c r="AC39" s="759"/>
      <c r="AD39" s="759"/>
    </row>
    <row r="40" spans="1:30" ht="18" customHeight="1">
      <c r="A40" s="758"/>
      <c r="B40" s="814">
        <v>23</v>
      </c>
      <c r="C40" s="756">
        <v>13</v>
      </c>
      <c r="D40" s="879"/>
      <c r="E40" s="756"/>
      <c r="F40" s="756"/>
      <c r="G40" s="756"/>
      <c r="H40" s="809"/>
      <c r="I40" s="913" t="str">
        <f t="shared" si="1"/>
        <v>2.8</v>
      </c>
      <c r="J40" s="913" t="str">
        <f t="shared" si="2"/>
        <v>Общепроизводственные расходы, в том числе:</v>
      </c>
      <c r="K40" s="913" t="str">
        <f t="shared" si="3"/>
        <v>Указывается общая сумма общепроизводственных расходов.</v>
      </c>
      <c r="L40" s="757" t="str">
        <f t="shared" si="4"/>
        <v>2.8</v>
      </c>
      <c r="M40" s="757" t="str">
        <f t="shared" si="5"/>
        <v>Общепроизводственные расходы, в том числе:</v>
      </c>
      <c r="N40" s="757" t="str">
        <f t="shared" si="6"/>
        <v>Указывается общая сумма общепроизводственных расходов.</v>
      </c>
      <c r="O40" s="869" t="s">
        <v>1416</v>
      </c>
      <c r="P40" s="869" t="s">
        <v>1403</v>
      </c>
      <c r="Q40" s="869" t="s">
        <v>1416</v>
      </c>
      <c r="R40" s="869" t="s">
        <v>1403</v>
      </c>
      <c r="S40" s="869"/>
      <c r="T40" s="756" t="s">
        <v>1417</v>
      </c>
      <c r="U40" s="756" t="s">
        <v>1417</v>
      </c>
      <c r="V40" s="756" t="s">
        <v>1417</v>
      </c>
      <c r="W40" s="756" t="s">
        <v>1417</v>
      </c>
      <c r="X40" s="756"/>
      <c r="Y40" s="910"/>
      <c r="Z40" s="759" t="s">
        <v>1418</v>
      </c>
      <c r="AA40" s="762" t="s">
        <v>1418</v>
      </c>
      <c r="AB40" s="762" t="s">
        <v>1418</v>
      </c>
      <c r="AC40" s="762" t="s">
        <v>1418</v>
      </c>
      <c r="AD40" s="759"/>
    </row>
    <row r="41" spans="1:30" ht="27" customHeight="1">
      <c r="A41" s="758"/>
      <c r="B41" s="814">
        <v>24</v>
      </c>
      <c r="C41" s="756" t="s">
        <v>1419</v>
      </c>
      <c r="D41" s="879"/>
      <c r="E41" s="756"/>
      <c r="F41" s="756"/>
      <c r="G41" s="756"/>
      <c r="H41" s="806"/>
      <c r="I41" s="913" t="str">
        <f t="shared" si="1"/>
        <v>2.8.1</v>
      </c>
      <c r="J41" s="913" t="str">
        <f t="shared" si="2"/>
        <v>Расходы на текущий ремонт</v>
      </c>
      <c r="K41" s="913" t="str">
        <f t="shared" si="3"/>
        <v>Указываются расходы на текущий ремонт, отнесенные к общепроизводственным расходам.</v>
      </c>
      <c r="L41" s="757" t="str">
        <f t="shared" si="4"/>
        <v>2.8.1</v>
      </c>
      <c r="M41" s="757" t="str">
        <f t="shared" si="5"/>
        <v>Расходы на текущий ремонт</v>
      </c>
      <c r="N41" s="757" t="str">
        <f t="shared" si="6"/>
        <v>Указываются расходы на текущий ремонт, отнесенные к общепроизводственным расходам.</v>
      </c>
      <c r="O41" s="869" t="s">
        <v>1420</v>
      </c>
      <c r="P41" s="869" t="s">
        <v>1406</v>
      </c>
      <c r="Q41" s="869" t="s">
        <v>1420</v>
      </c>
      <c r="R41" s="869" t="s">
        <v>1406</v>
      </c>
      <c r="S41" s="869"/>
      <c r="T41" s="756" t="s">
        <v>1421</v>
      </c>
      <c r="U41" s="756" t="s">
        <v>1421</v>
      </c>
      <c r="V41" s="756" t="s">
        <v>1421</v>
      </c>
      <c r="W41" s="756" t="s">
        <v>1421</v>
      </c>
      <c r="X41" s="756"/>
      <c r="Y41" s="910"/>
      <c r="Z41" s="759" t="s">
        <v>1422</v>
      </c>
      <c r="AA41" s="759" t="s">
        <v>1422</v>
      </c>
      <c r="AB41" s="759" t="s">
        <v>1422</v>
      </c>
      <c r="AC41" s="759" t="s">
        <v>1422</v>
      </c>
      <c r="AD41" s="759"/>
    </row>
    <row r="42" spans="1:30" ht="27" customHeight="1">
      <c r="A42" s="758"/>
      <c r="B42" s="814">
        <v>25</v>
      </c>
      <c r="C42" s="756" t="s">
        <v>1423</v>
      </c>
      <c r="D42" s="879"/>
      <c r="E42" s="756"/>
      <c r="F42" s="756"/>
      <c r="G42" s="756"/>
      <c r="H42" s="806"/>
      <c r="I42" s="913" t="str">
        <f t="shared" si="1"/>
        <v>2.8.2</v>
      </c>
      <c r="J42" s="913" t="str">
        <f t="shared" si="2"/>
        <v>Расходы на капитальный ремонт</v>
      </c>
      <c r="K42" s="913" t="str">
        <f t="shared" si="3"/>
        <v>Указываются расходы на капитальный ремонт, отнесенные к общепроизводственным расходам.</v>
      </c>
      <c r="L42" s="757" t="str">
        <f t="shared" si="4"/>
        <v>2.8.2</v>
      </c>
      <c r="M42" s="757" t="str">
        <f t="shared" si="5"/>
        <v>Расходы на капитальный ремонт</v>
      </c>
      <c r="N42" s="757" t="str">
        <f t="shared" si="6"/>
        <v>Указываются расходы на капитальный ремонт, отнесенные к общепроизводственным расходам.</v>
      </c>
      <c r="O42" s="869" t="s">
        <v>1424</v>
      </c>
      <c r="P42" s="869" t="s">
        <v>1409</v>
      </c>
      <c r="Q42" s="869" t="s">
        <v>1424</v>
      </c>
      <c r="R42" s="869" t="s">
        <v>1409</v>
      </c>
      <c r="S42" s="869"/>
      <c r="T42" s="756" t="s">
        <v>1425</v>
      </c>
      <c r="U42" s="756" t="s">
        <v>1425</v>
      </c>
      <c r="V42" s="756" t="s">
        <v>1425</v>
      </c>
      <c r="W42" s="756" t="s">
        <v>1425</v>
      </c>
      <c r="X42" s="756"/>
      <c r="Y42" s="910"/>
      <c r="Z42" s="759" t="s">
        <v>1426</v>
      </c>
      <c r="AA42" s="759" t="s">
        <v>1426</v>
      </c>
      <c r="AB42" s="759" t="s">
        <v>1426</v>
      </c>
      <c r="AC42" s="759" t="s">
        <v>1426</v>
      </c>
      <c r="AD42" s="759"/>
    </row>
    <row r="43" spans="1:30" ht="18" customHeight="1">
      <c r="A43" s="758"/>
      <c r="B43" s="814">
        <v>26</v>
      </c>
      <c r="C43" s="756">
        <v>14</v>
      </c>
      <c r="D43" s="879"/>
      <c r="E43" s="756"/>
      <c r="F43" s="756"/>
      <c r="G43" s="756"/>
      <c r="H43" s="806"/>
      <c r="I43" s="913" t="str">
        <f t="shared" si="1"/>
        <v>2.9</v>
      </c>
      <c r="J43" s="913" t="str">
        <f t="shared" si="2"/>
        <v>Общехозяйственные расходы, в том числе:</v>
      </c>
      <c r="K43" s="913" t="str">
        <f t="shared" si="3"/>
        <v>Указывается общая сумма общехозяйственных расходов.</v>
      </c>
      <c r="L43" s="757" t="str">
        <f t="shared" si="4"/>
        <v>2.9</v>
      </c>
      <c r="M43" s="757" t="str">
        <f t="shared" si="5"/>
        <v>Общехозяйственные расходы, в том числе:</v>
      </c>
      <c r="N43" s="757" t="str">
        <f t="shared" si="6"/>
        <v>Указывается общая сумма общехозяйственных расходов.</v>
      </c>
      <c r="O43" s="869" t="s">
        <v>1427</v>
      </c>
      <c r="P43" s="869" t="s">
        <v>1411</v>
      </c>
      <c r="Q43" s="869" t="s">
        <v>1427</v>
      </c>
      <c r="R43" s="869" t="s">
        <v>1411</v>
      </c>
      <c r="S43" s="869"/>
      <c r="T43" s="756" t="s">
        <v>1428</v>
      </c>
      <c r="U43" s="756" t="s">
        <v>1428</v>
      </c>
      <c r="V43" s="756" t="s">
        <v>1428</v>
      </c>
      <c r="W43" s="756" t="s">
        <v>1428</v>
      </c>
      <c r="X43" s="756"/>
      <c r="Y43" s="910"/>
      <c r="Z43" s="759" t="s">
        <v>1429</v>
      </c>
      <c r="AA43" s="759" t="s">
        <v>1429</v>
      </c>
      <c r="AB43" s="759" t="s">
        <v>1429</v>
      </c>
      <c r="AC43" s="759" t="s">
        <v>1429</v>
      </c>
      <c r="AD43" s="759"/>
    </row>
    <row r="44" spans="1:30" ht="27" customHeight="1">
      <c r="A44" s="758"/>
      <c r="B44" s="814">
        <v>27</v>
      </c>
      <c r="C44" s="756" t="s">
        <v>1430</v>
      </c>
      <c r="D44" s="879"/>
      <c r="E44" s="756"/>
      <c r="F44" s="756"/>
      <c r="G44" s="756"/>
      <c r="H44" s="806"/>
      <c r="I44" s="913" t="str">
        <f t="shared" si="1"/>
        <v>2.9.1</v>
      </c>
      <c r="J44" s="913" t="str">
        <f t="shared" si="2"/>
        <v>Расходы на текущий ремонт</v>
      </c>
      <c r="K44" s="913" t="str">
        <f t="shared" si="3"/>
        <v>Указываются расходы на текущий ремонт, отнесенные к общехозяйственным расходам.</v>
      </c>
      <c r="L44" s="757" t="str">
        <f t="shared" si="4"/>
        <v>2.9.1</v>
      </c>
      <c r="M44" s="757" t="str">
        <f t="shared" si="5"/>
        <v>Расходы на текущий ремонт</v>
      </c>
      <c r="N44" s="757" t="str">
        <f t="shared" si="6"/>
        <v>Указываются расходы на текущий ремонт, отнесенные к общехозяйственным расходам.</v>
      </c>
      <c r="O44" s="869" t="s">
        <v>1431</v>
      </c>
      <c r="P44" s="869" t="s">
        <v>1432</v>
      </c>
      <c r="Q44" s="869" t="s">
        <v>1431</v>
      </c>
      <c r="R44" s="869" t="s">
        <v>1432</v>
      </c>
      <c r="S44" s="869"/>
      <c r="T44" s="756" t="s">
        <v>1421</v>
      </c>
      <c r="U44" s="756" t="s">
        <v>1421</v>
      </c>
      <c r="V44" s="756" t="s">
        <v>1421</v>
      </c>
      <c r="W44" s="756" t="s">
        <v>1421</v>
      </c>
      <c r="X44" s="756"/>
      <c r="Y44" s="910"/>
      <c r="Z44" s="759" t="s">
        <v>1433</v>
      </c>
      <c r="AA44" s="759" t="s">
        <v>1433</v>
      </c>
      <c r="AB44" s="759" t="s">
        <v>1433</v>
      </c>
      <c r="AC44" s="759" t="s">
        <v>1433</v>
      </c>
      <c r="AD44" s="759"/>
    </row>
    <row r="45" spans="1:30" ht="27" customHeight="1">
      <c r="A45" s="758"/>
      <c r="B45" s="814">
        <v>28</v>
      </c>
      <c r="C45" s="756" t="s">
        <v>1434</v>
      </c>
      <c r="D45" s="879"/>
      <c r="E45" s="756"/>
      <c r="F45" s="756"/>
      <c r="G45" s="756"/>
      <c r="H45" s="806"/>
      <c r="I45" s="913" t="str">
        <f t="shared" si="1"/>
        <v>2.9.2</v>
      </c>
      <c r="J45" s="913" t="str">
        <f t="shared" si="2"/>
        <v>Расходы на капитальный ремонт</v>
      </c>
      <c r="K45" s="913" t="str">
        <f t="shared" si="3"/>
        <v>Указываются расходы на капитальный ремонт, отнесенные к общехозяйственным расходам.</v>
      </c>
      <c r="L45" s="757" t="str">
        <f t="shared" si="4"/>
        <v>2.9.2</v>
      </c>
      <c r="M45" s="757" t="str">
        <f t="shared" si="5"/>
        <v>Расходы на капитальный ремонт</v>
      </c>
      <c r="N45" s="757" t="str">
        <f t="shared" si="6"/>
        <v>Указываются расходы на капитальный ремонт, отнесенные к общехозяйственным расходам.</v>
      </c>
      <c r="O45" s="869" t="s">
        <v>1435</v>
      </c>
      <c r="P45" s="869" t="s">
        <v>1436</v>
      </c>
      <c r="Q45" s="869" t="s">
        <v>1435</v>
      </c>
      <c r="R45" s="869" t="s">
        <v>1436</v>
      </c>
      <c r="S45" s="869"/>
      <c r="T45" s="756" t="s">
        <v>1425</v>
      </c>
      <c r="U45" s="756" t="s">
        <v>1425</v>
      </c>
      <c r="V45" s="756" t="s">
        <v>1425</v>
      </c>
      <c r="W45" s="756" t="s">
        <v>1425</v>
      </c>
      <c r="X45" s="756"/>
      <c r="Y45" s="910"/>
      <c r="Z45" s="759" t="s">
        <v>1437</v>
      </c>
      <c r="AA45" s="759" t="s">
        <v>1437</v>
      </c>
      <c r="AB45" s="759" t="s">
        <v>1437</v>
      </c>
      <c r="AC45" s="759" t="s">
        <v>1437</v>
      </c>
      <c r="AD45" s="759"/>
    </row>
    <row r="46" spans="1:30" ht="54" customHeight="1">
      <c r="A46" s="758"/>
      <c r="B46" s="814">
        <v>29</v>
      </c>
      <c r="C46" s="756">
        <v>15</v>
      </c>
      <c r="D46" s="879"/>
      <c r="E46" s="756"/>
      <c r="F46" s="756"/>
      <c r="G46" s="756"/>
      <c r="H46" s="806"/>
      <c r="I46" s="913" t="str">
        <f t="shared" si="1"/>
        <v>2.10</v>
      </c>
      <c r="J46" s="913" t="str">
        <f t="shared" si="2"/>
        <v>Расходы на капитальный и текущий ремонт основных средств</v>
      </c>
      <c r="K46" s="913" t="str">
        <f t="shared" si="3"/>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L46" s="757" t="str">
        <f t="shared" si="4"/>
        <v>2.10</v>
      </c>
      <c r="M46" s="757" t="str">
        <f t="shared" si="5"/>
        <v>Расходы на капитальный и текущий ремонт основных средств</v>
      </c>
      <c r="N46" s="757" t="str">
        <f t="shared" si="6"/>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O46" s="869" t="s">
        <v>1438</v>
      </c>
      <c r="P46" s="869" t="s">
        <v>1416</v>
      </c>
      <c r="Q46" s="869" t="s">
        <v>1438</v>
      </c>
      <c r="R46" s="869" t="s">
        <v>1416</v>
      </c>
      <c r="S46" s="869"/>
      <c r="T46" s="756" t="s">
        <v>1439</v>
      </c>
      <c r="U46" s="756" t="s">
        <v>1439</v>
      </c>
      <c r="V46" s="756" t="s">
        <v>1439</v>
      </c>
      <c r="W46" s="756" t="s">
        <v>1439</v>
      </c>
      <c r="X46" s="756"/>
      <c r="Y46" s="910"/>
      <c r="Z46" s="759" t="s">
        <v>1440</v>
      </c>
      <c r="AA46" s="759" t="s">
        <v>1441</v>
      </c>
      <c r="AB46" s="759" t="s">
        <v>1441</v>
      </c>
      <c r="AC46" s="759" t="s">
        <v>1441</v>
      </c>
      <c r="AD46" s="759"/>
    </row>
    <row r="47" spans="1:30" ht="54" customHeight="1">
      <c r="A47" s="758"/>
      <c r="B47" s="814">
        <v>30</v>
      </c>
      <c r="C47" s="756" t="s">
        <v>1442</v>
      </c>
      <c r="D47" s="879"/>
      <c r="E47" s="756"/>
      <c r="F47" s="756"/>
      <c r="G47" s="756"/>
      <c r="H47" s="806"/>
      <c r="I47" s="913" t="str">
        <f t="shared" si="1"/>
        <v>2.10.1</v>
      </c>
      <c r="J47" s="913" t="str">
        <f t="shared" si="2"/>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K47" s="913">
        <f t="shared" si="3"/>
        <v>0</v>
      </c>
      <c r="L47" s="757" t="str">
        <f t="shared" si="4"/>
        <v>2.10.1</v>
      </c>
      <c r="M47" s="757" t="str">
        <f t="shared" si="5"/>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N47" s="757" t="str">
        <f t="shared" si="6"/>
        <v/>
      </c>
      <c r="O47" s="869" t="s">
        <v>1443</v>
      </c>
      <c r="P47" s="869" t="s">
        <v>1420</v>
      </c>
      <c r="Q47" s="869" t="s">
        <v>1443</v>
      </c>
      <c r="R47" s="869" t="s">
        <v>1420</v>
      </c>
      <c r="S47" s="869"/>
      <c r="T47" s="756" t="s">
        <v>1444</v>
      </c>
      <c r="U47" s="756" t="s">
        <v>1444</v>
      </c>
      <c r="V47" s="756" t="s">
        <v>1444</v>
      </c>
      <c r="W47" s="756" t="s">
        <v>1444</v>
      </c>
      <c r="X47" s="756"/>
      <c r="Y47" s="910"/>
      <c r="Z47" s="759"/>
      <c r="AA47" s="762"/>
      <c r="AB47" s="762"/>
      <c r="AC47" s="762"/>
      <c r="AD47" s="759"/>
    </row>
    <row r="48" spans="1:30" ht="54" customHeight="1">
      <c r="A48" s="758"/>
      <c r="B48" s="814">
        <v>31</v>
      </c>
      <c r="C48" s="756">
        <v>16</v>
      </c>
      <c r="D48" s="879"/>
      <c r="E48" s="756"/>
      <c r="F48" s="756"/>
      <c r="G48" s="756"/>
      <c r="H48" s="806"/>
      <c r="I48" s="913" t="str">
        <f t="shared" si="1"/>
        <v>2.11</v>
      </c>
      <c r="J48" s="913" t="str">
        <f t="shared" si="2"/>
        <v xml:space="preserve">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v>
      </c>
      <c r="K48" s="913" t="str">
        <f t="shared" si="3"/>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L48" s="757" t="str">
        <f t="shared" si="4"/>
        <v>2.11</v>
      </c>
      <c r="M48" s="757" t="str">
        <f t="shared" si="5"/>
        <v xml:space="preserve">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v>
      </c>
      <c r="N48" s="757" t="str">
        <f t="shared" si="6"/>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O48" s="869"/>
      <c r="P48" s="869" t="s">
        <v>1427</v>
      </c>
      <c r="Q48" s="869" t="s">
        <v>1445</v>
      </c>
      <c r="R48" s="869" t="s">
        <v>1427</v>
      </c>
      <c r="S48" s="869"/>
      <c r="T48" s="756"/>
      <c r="U48" s="756" t="s">
        <v>1446</v>
      </c>
      <c r="V48" s="756" t="s">
        <v>1447</v>
      </c>
      <c r="W48" s="756" t="s">
        <v>1447</v>
      </c>
      <c r="X48" s="756"/>
      <c r="Y48" s="910"/>
      <c r="Z48" s="759"/>
      <c r="AA48" s="762" t="s">
        <v>1441</v>
      </c>
      <c r="AB48" s="762" t="s">
        <v>1441</v>
      </c>
      <c r="AC48" s="762" t="s">
        <v>1441</v>
      </c>
      <c r="AD48" s="759"/>
    </row>
    <row r="49" spans="1:30" ht="54" customHeight="1">
      <c r="A49" s="758"/>
      <c r="B49" s="814">
        <v>32</v>
      </c>
      <c r="C49" s="756" t="s">
        <v>1448</v>
      </c>
      <c r="D49" s="879"/>
      <c r="E49" s="756"/>
      <c r="F49" s="756"/>
      <c r="G49" s="756"/>
      <c r="H49" s="806"/>
      <c r="I49" s="913" t="str">
        <f t="shared" si="1"/>
        <v>2.11.1</v>
      </c>
      <c r="J49" s="913" t="str">
        <f t="shared" si="2"/>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K49" s="913">
        <f t="shared" si="3"/>
        <v>0</v>
      </c>
      <c r="L49" s="757" t="str">
        <f t="shared" si="4"/>
        <v>2.11.1</v>
      </c>
      <c r="M49" s="757" t="str">
        <f t="shared" si="5"/>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N49" s="757" t="str">
        <f t="shared" si="6"/>
        <v/>
      </c>
      <c r="O49" s="869"/>
      <c r="P49" s="869" t="s">
        <v>1431</v>
      </c>
      <c r="Q49" s="869" t="s">
        <v>1449</v>
      </c>
      <c r="R49" s="869" t="s">
        <v>1431</v>
      </c>
      <c r="S49" s="869"/>
      <c r="T49" s="756"/>
      <c r="U49" s="756" t="s">
        <v>1444</v>
      </c>
      <c r="V49" s="756" t="s">
        <v>1444</v>
      </c>
      <c r="W49" s="756" t="s">
        <v>1444</v>
      </c>
      <c r="X49" s="756"/>
      <c r="Y49" s="910"/>
      <c r="Z49" s="759"/>
      <c r="AA49" s="762"/>
      <c r="AB49" s="762"/>
      <c r="AC49" s="762"/>
      <c r="AD49" s="759"/>
    </row>
    <row r="50" spans="1:30" ht="126" customHeight="1">
      <c r="A50" s="758"/>
      <c r="B50" s="814">
        <v>33</v>
      </c>
      <c r="C50" s="756">
        <v>17</v>
      </c>
      <c r="D50" s="879"/>
      <c r="E50" s="756"/>
      <c r="F50" s="756"/>
      <c r="G50" s="756"/>
      <c r="H50" s="806"/>
      <c r="I50" s="913" t="str">
        <f t="shared" ref="I50:I81" si="7">INDEX(TEMPLATE_NUMBER_POINT_FHD,B50,MATCH(TEMPLATE_SPHERE,TEMPLATE_SPHERE_LIST_FOR_NOTE,0))</f>
        <v>2.12</v>
      </c>
      <c r="J50" s="913" t="str">
        <f t="shared" ref="J50:J81" si="8">INDEX(TEMPLATE_DATA_POINT_FHD,B50,MATCH(TEMPLATE_SPHERE,TEMPLATE_SPHERE_LIST_FOR_NOTE,0))</f>
        <v>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v>
      </c>
      <c r="K50" s="913" t="str">
        <f t="shared" ref="K50:K81" si="9">INDEX(TEMPLATE_NOTE_POINT_FHD,B50,MATCH(TEMPLATE_SPHERE,TEMPLATE_SPHERE_LIST_FOR_NOTE,0))</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L50" s="757" t="str">
        <f t="shared" ref="L50:L81" si="10">IF(I50=0,"",I50)</f>
        <v>2.12</v>
      </c>
      <c r="M50" s="757" t="str">
        <f t="shared" ref="M50:M81" si="11">IF(J50=0,"",J50)</f>
        <v>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v>
      </c>
      <c r="N50" s="757" t="str">
        <f t="shared" ref="N50:N81" si="12">IF(K50=0,"",K50)</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O50" s="869" t="s">
        <v>1445</v>
      </c>
      <c r="P50" s="869" t="s">
        <v>1438</v>
      </c>
      <c r="Q50" s="869" t="s">
        <v>1450</v>
      </c>
      <c r="R50" s="869" t="s">
        <v>1438</v>
      </c>
      <c r="S50" s="869"/>
      <c r="T50" s="756" t="s">
        <v>1451</v>
      </c>
      <c r="U50" s="756" t="s">
        <v>1452</v>
      </c>
      <c r="V50" s="756" t="s">
        <v>1453</v>
      </c>
      <c r="W50" s="756" t="s">
        <v>1454</v>
      </c>
      <c r="X50" s="756"/>
      <c r="Y50" s="910"/>
      <c r="Z50" s="759" t="s">
        <v>1455</v>
      </c>
      <c r="AA50" s="762" t="s">
        <v>1456</v>
      </c>
      <c r="AB50" s="762" t="s">
        <v>1456</v>
      </c>
      <c r="AC50" s="762" t="s">
        <v>1456</v>
      </c>
      <c r="AD50" s="759"/>
    </row>
    <row r="51" spans="1:30" ht="27" customHeight="1">
      <c r="A51" s="758"/>
      <c r="B51" s="814">
        <v>34</v>
      </c>
      <c r="C51" s="756" t="s">
        <v>1457</v>
      </c>
      <c r="D51" s="879"/>
      <c r="E51" s="756"/>
      <c r="F51" s="756"/>
      <c r="G51" s="756"/>
      <c r="H51" s="806"/>
      <c r="I51" s="913">
        <f t="shared" si="7"/>
        <v>0</v>
      </c>
      <c r="J51" s="913">
        <f t="shared" si="8"/>
        <v>0</v>
      </c>
      <c r="K51" s="913">
        <f t="shared" si="9"/>
        <v>0</v>
      </c>
      <c r="L51" s="757" t="str">
        <f t="shared" si="10"/>
        <v/>
      </c>
      <c r="M51" s="757" t="str">
        <f t="shared" si="11"/>
        <v/>
      </c>
      <c r="N51" s="757" t="str">
        <f t="shared" si="12"/>
        <v/>
      </c>
      <c r="O51" s="869" t="s">
        <v>90</v>
      </c>
      <c r="P51" s="869"/>
      <c r="Q51" s="869"/>
      <c r="R51" s="869"/>
      <c r="S51" s="869"/>
      <c r="T51" s="756" t="s">
        <v>1458</v>
      </c>
      <c r="U51" s="756"/>
      <c r="V51" s="756"/>
      <c r="W51" s="756"/>
      <c r="X51" s="756"/>
      <c r="Y51" s="910"/>
      <c r="Z51" s="759"/>
      <c r="AA51" s="762"/>
      <c r="AB51" s="762"/>
      <c r="AC51" s="762"/>
      <c r="AD51" s="759"/>
    </row>
    <row r="52" spans="1:30" ht="36" customHeight="1">
      <c r="A52" s="758"/>
      <c r="B52" s="814">
        <v>35</v>
      </c>
      <c r="C52" s="756" t="s">
        <v>1337</v>
      </c>
      <c r="D52" s="879" t="s">
        <v>1337</v>
      </c>
      <c r="E52" s="756" t="s">
        <v>1337</v>
      </c>
      <c r="F52" s="756" t="s">
        <v>1337</v>
      </c>
      <c r="G52" s="756"/>
      <c r="H52" s="806"/>
      <c r="I52" s="913" t="str">
        <f t="shared" si="7"/>
        <v>3</v>
      </c>
      <c r="J52" s="913" t="str">
        <f t="shared" si="8"/>
        <v>Чистая прибыль, полученная от регулируемого вида деятельности в сфере холодного водоснабжения, в том числе:</v>
      </c>
      <c r="K52" s="913" t="str">
        <f t="shared" si="9"/>
        <v>Указывается общая сумма чистой прибыли, полученной от регулируемого вида деятельности.</v>
      </c>
      <c r="L52" s="757" t="str">
        <f t="shared" si="10"/>
        <v>3</v>
      </c>
      <c r="M52" s="757" t="str">
        <f t="shared" si="11"/>
        <v>Чистая прибыль, полученная от регулируемого вида деятельности в сфере холодного водоснабжения, в том числе:</v>
      </c>
      <c r="N52" s="757" t="str">
        <f t="shared" si="12"/>
        <v>Указывается общая сумма чистой прибыли, полученной от регулируемого вида деятельности.</v>
      </c>
      <c r="O52" s="869" t="s">
        <v>91</v>
      </c>
      <c r="P52" s="869" t="s">
        <v>90</v>
      </c>
      <c r="Q52" s="869" t="s">
        <v>90</v>
      </c>
      <c r="R52" s="869" t="s">
        <v>90</v>
      </c>
      <c r="S52" s="869"/>
      <c r="T52" s="756" t="s">
        <v>1459</v>
      </c>
      <c r="U52" s="756" t="s">
        <v>1460</v>
      </c>
      <c r="V52" s="756" t="s">
        <v>1461</v>
      </c>
      <c r="W52" s="756" t="s">
        <v>1462</v>
      </c>
      <c r="X52" s="756"/>
      <c r="Y52" s="910"/>
      <c r="Z52" s="759" t="s">
        <v>1463</v>
      </c>
      <c r="AA52" s="762" t="s">
        <v>1463</v>
      </c>
      <c r="AB52" s="762" t="s">
        <v>1463</v>
      </c>
      <c r="AC52" s="762" t="s">
        <v>1463</v>
      </c>
      <c r="AD52" s="759"/>
    </row>
    <row r="53" spans="1:30" ht="36" customHeight="1">
      <c r="A53" s="758"/>
      <c r="B53" s="814">
        <v>36</v>
      </c>
      <c r="C53" s="756">
        <v>1</v>
      </c>
      <c r="D53" s="879"/>
      <c r="E53" s="756"/>
      <c r="F53" s="756"/>
      <c r="G53" s="756"/>
      <c r="H53" s="806"/>
      <c r="I53" s="913" t="str">
        <f t="shared" si="7"/>
        <v>3.1</v>
      </c>
      <c r="J53" s="913" t="str">
        <f t="shared" si="8"/>
        <v>Размер расходования чистой прибыли на финансирование мероприятий, предусмотренных инвестиционной программой регулируемой организации</v>
      </c>
      <c r="K53" s="913">
        <f t="shared" si="9"/>
        <v>0</v>
      </c>
      <c r="L53" s="757" t="str">
        <f t="shared" si="10"/>
        <v>3.1</v>
      </c>
      <c r="M53" s="757" t="str">
        <f t="shared" si="11"/>
        <v>Размер расходования чистой прибыли на финансирование мероприятий, предусмотренных инвестиционной программой регулируемой организации</v>
      </c>
      <c r="N53" s="757" t="str">
        <f t="shared" si="12"/>
        <v/>
      </c>
      <c r="O53" s="869" t="s">
        <v>1464</v>
      </c>
      <c r="P53" s="869" t="s">
        <v>317</v>
      </c>
      <c r="Q53" s="869" t="s">
        <v>317</v>
      </c>
      <c r="R53" s="869" t="s">
        <v>317</v>
      </c>
      <c r="S53" s="869"/>
      <c r="T53" s="756" t="s">
        <v>1465</v>
      </c>
      <c r="U53" s="756" t="s">
        <v>1465</v>
      </c>
      <c r="V53" s="756" t="s">
        <v>1465</v>
      </c>
      <c r="W53" s="756" t="s">
        <v>1465</v>
      </c>
      <c r="X53" s="756"/>
      <c r="Y53" s="910"/>
      <c r="Z53" s="759"/>
      <c r="AA53" s="762"/>
      <c r="AB53" s="759"/>
      <c r="AC53" s="759"/>
      <c r="AD53" s="759"/>
    </row>
    <row r="54" spans="1:30" ht="18" customHeight="1">
      <c r="A54" s="758"/>
      <c r="B54" s="814">
        <v>37</v>
      </c>
      <c r="C54" s="756" t="s">
        <v>1343</v>
      </c>
      <c r="D54" s="879" t="s">
        <v>1343</v>
      </c>
      <c r="E54" s="756" t="s">
        <v>1343</v>
      </c>
      <c r="F54" s="756" t="s">
        <v>1343</v>
      </c>
      <c r="G54" s="756"/>
      <c r="H54" s="806"/>
      <c r="I54" s="913" t="str">
        <f t="shared" si="7"/>
        <v>4</v>
      </c>
      <c r="J54" s="913" t="str">
        <f t="shared" si="8"/>
        <v>Изменение стоимости основных фондов, в том числе:</v>
      </c>
      <c r="K54" s="913" t="str">
        <f t="shared" si="9"/>
        <v>Указывается общее изменение стоимости основных фондов.</v>
      </c>
      <c r="L54" s="757" t="str">
        <f t="shared" si="10"/>
        <v>4</v>
      </c>
      <c r="M54" s="757" t="str">
        <f t="shared" si="11"/>
        <v>Изменение стоимости основных фондов, в том числе:</v>
      </c>
      <c r="N54" s="757" t="str">
        <f t="shared" si="12"/>
        <v>Указывается общее изменение стоимости основных фондов.</v>
      </c>
      <c r="O54" s="869" t="s">
        <v>111</v>
      </c>
      <c r="P54" s="869" t="s">
        <v>91</v>
      </c>
      <c r="Q54" s="869" t="s">
        <v>91</v>
      </c>
      <c r="R54" s="869" t="s">
        <v>91</v>
      </c>
      <c r="S54" s="869"/>
      <c r="T54" s="756" t="s">
        <v>1466</v>
      </c>
      <c r="U54" s="756" t="s">
        <v>1466</v>
      </c>
      <c r="V54" s="756" t="s">
        <v>1466</v>
      </c>
      <c r="W54" s="756" t="s">
        <v>1466</v>
      </c>
      <c r="X54" s="756"/>
      <c r="Y54" s="910"/>
      <c r="Z54" s="759" t="s">
        <v>1467</v>
      </c>
      <c r="AA54" s="759" t="s">
        <v>1467</v>
      </c>
      <c r="AB54" s="759" t="s">
        <v>1467</v>
      </c>
      <c r="AC54" s="759" t="s">
        <v>1467</v>
      </c>
      <c r="AD54" s="759"/>
    </row>
    <row r="55" spans="1:30" ht="36" customHeight="1">
      <c r="A55" s="758"/>
      <c r="B55" s="814">
        <v>38</v>
      </c>
      <c r="C55" s="756">
        <v>1</v>
      </c>
      <c r="D55" s="879"/>
      <c r="E55" s="756"/>
      <c r="F55" s="756"/>
      <c r="G55" s="756"/>
      <c r="H55" s="806"/>
      <c r="I55" s="913" t="str">
        <f t="shared" si="7"/>
        <v>4.1</v>
      </c>
      <c r="J55" s="913" t="str">
        <f t="shared" si="8"/>
        <v>Изменение стоимости основных фондов за счет их ввода в эксплуатацию (вывода из эксплуатации)</v>
      </c>
      <c r="K55" s="913" t="str">
        <f t="shared" si="9"/>
        <v>Указываются общее изменение стоимости основных фондов за счет их ввода в эксплуатацию и вывода из эксплуатации.</v>
      </c>
      <c r="L55" s="757" t="str">
        <f t="shared" si="10"/>
        <v>4.1</v>
      </c>
      <c r="M55" s="757" t="str">
        <f t="shared" si="11"/>
        <v>Изменение стоимости основных фондов за счет их ввода в эксплуатацию (вывода из эксплуатации)</v>
      </c>
      <c r="N55" s="757" t="str">
        <f t="shared" si="12"/>
        <v>Указываются общее изменение стоимости основных фондов за счет их ввода в эксплуатацию и вывода из эксплуатации.</v>
      </c>
      <c r="O55" s="869" t="s">
        <v>306</v>
      </c>
      <c r="P55" s="869" t="s">
        <v>1464</v>
      </c>
      <c r="Q55" s="869" t="s">
        <v>1464</v>
      </c>
      <c r="R55" s="869" t="s">
        <v>1464</v>
      </c>
      <c r="S55" s="869"/>
      <c r="T55" s="756" t="s">
        <v>1468</v>
      </c>
      <c r="U55" s="756" t="s">
        <v>1469</v>
      </c>
      <c r="V55" s="756" t="s">
        <v>1469</v>
      </c>
      <c r="W55" s="756" t="s">
        <v>1469</v>
      </c>
      <c r="X55" s="756"/>
      <c r="Y55" s="910"/>
      <c r="Z55" s="759" t="s">
        <v>1470</v>
      </c>
      <c r="AA55" s="759" t="s">
        <v>1470</v>
      </c>
      <c r="AB55" s="759" t="s">
        <v>1470</v>
      </c>
      <c r="AC55" s="759" t="s">
        <v>1470</v>
      </c>
      <c r="AD55" s="759"/>
    </row>
    <row r="56" spans="1:30" ht="27" customHeight="1">
      <c r="A56" s="758"/>
      <c r="B56" s="814">
        <v>39</v>
      </c>
      <c r="C56" s="756" t="s">
        <v>429</v>
      </c>
      <c r="D56" s="879"/>
      <c r="E56" s="756"/>
      <c r="F56" s="756"/>
      <c r="G56" s="756"/>
      <c r="H56" s="806"/>
      <c r="I56" s="913" t="str">
        <f t="shared" si="7"/>
        <v>4.1.1</v>
      </c>
      <c r="J56" s="913" t="str">
        <f t="shared" si="8"/>
        <v>Изменение стоимости основных фондов за счет их ввода в эксплуатацию</v>
      </c>
      <c r="K56" s="913" t="str">
        <f t="shared" si="9"/>
        <v>Указываются изменение стоимости основных фондов за счет их ввода в эксплуатацию.</v>
      </c>
      <c r="L56" s="757" t="str">
        <f t="shared" si="10"/>
        <v>4.1.1</v>
      </c>
      <c r="M56" s="757" t="str">
        <f t="shared" si="11"/>
        <v>Изменение стоимости основных фондов за счет их ввода в эксплуатацию</v>
      </c>
      <c r="N56" s="757" t="str">
        <f t="shared" si="12"/>
        <v>Указываются изменение стоимости основных фондов за счет их ввода в эксплуатацию.</v>
      </c>
      <c r="O56" s="869" t="s">
        <v>1471</v>
      </c>
      <c r="P56" s="869" t="s">
        <v>1472</v>
      </c>
      <c r="Q56" s="869" t="s">
        <v>1472</v>
      </c>
      <c r="R56" s="869" t="s">
        <v>1472</v>
      </c>
      <c r="S56" s="869"/>
      <c r="T56" s="756" t="s">
        <v>1473</v>
      </c>
      <c r="U56" s="756" t="s">
        <v>1474</v>
      </c>
      <c r="V56" s="756" t="s">
        <v>1474</v>
      </c>
      <c r="W56" s="756" t="s">
        <v>1474</v>
      </c>
      <c r="X56" s="756"/>
      <c r="Y56" s="910"/>
      <c r="Z56" s="759" t="s">
        <v>1475</v>
      </c>
      <c r="AA56" s="759" t="s">
        <v>1475</v>
      </c>
      <c r="AB56" s="759" t="s">
        <v>1475</v>
      </c>
      <c r="AC56" s="759" t="s">
        <v>1475</v>
      </c>
      <c r="AD56" s="759"/>
    </row>
    <row r="57" spans="1:30" ht="27" customHeight="1">
      <c r="A57" s="758"/>
      <c r="B57" s="814">
        <v>40</v>
      </c>
      <c r="C57" s="756" t="s">
        <v>444</v>
      </c>
      <c r="D57" s="879"/>
      <c r="E57" s="756"/>
      <c r="F57" s="756"/>
      <c r="G57" s="756"/>
      <c r="H57" s="806"/>
      <c r="I57" s="913" t="str">
        <f t="shared" si="7"/>
        <v>4.1.2</v>
      </c>
      <c r="J57" s="913" t="str">
        <f t="shared" si="8"/>
        <v>Изменение стоимости основных фондов за счет их вывода в эксплуатацию</v>
      </c>
      <c r="K57" s="913" t="str">
        <f t="shared" si="9"/>
        <v>Указываются изменение стоимости основных фондов за счет их вывода из эксплуатации.</v>
      </c>
      <c r="L57" s="757" t="str">
        <f t="shared" si="10"/>
        <v>4.1.2</v>
      </c>
      <c r="M57" s="757" t="str">
        <f t="shared" si="11"/>
        <v>Изменение стоимости основных фондов за счет их вывода в эксплуатацию</v>
      </c>
      <c r="N57" s="757" t="str">
        <f t="shared" si="12"/>
        <v>Указываются изменение стоимости основных фондов за счет их вывода из эксплуатации.</v>
      </c>
      <c r="O57" s="869" t="s">
        <v>1476</v>
      </c>
      <c r="P57" s="869" t="s">
        <v>1477</v>
      </c>
      <c r="Q57" s="869" t="s">
        <v>1477</v>
      </c>
      <c r="R57" s="869" t="s">
        <v>1477</v>
      </c>
      <c r="S57" s="869"/>
      <c r="T57" s="756" t="s">
        <v>1478</v>
      </c>
      <c r="U57" s="756" t="s">
        <v>1479</v>
      </c>
      <c r="V57" s="756" t="s">
        <v>1479</v>
      </c>
      <c r="W57" s="756" t="s">
        <v>1479</v>
      </c>
      <c r="X57" s="756"/>
      <c r="Y57" s="910"/>
      <c r="Z57" s="759" t="s">
        <v>1480</v>
      </c>
      <c r="AA57" s="759" t="s">
        <v>1480</v>
      </c>
      <c r="AB57" s="759" t="s">
        <v>1480</v>
      </c>
      <c r="AC57" s="759" t="s">
        <v>1480</v>
      </c>
      <c r="AD57" s="759"/>
    </row>
    <row r="58" spans="1:30" ht="18" customHeight="1">
      <c r="A58" s="758"/>
      <c r="B58" s="814">
        <v>41</v>
      </c>
      <c r="C58" s="756">
        <v>2</v>
      </c>
      <c r="D58" s="879"/>
      <c r="E58" s="756"/>
      <c r="F58" s="756"/>
      <c r="G58" s="756"/>
      <c r="H58" s="806"/>
      <c r="I58" s="913" t="str">
        <f t="shared" si="7"/>
        <v>4.2</v>
      </c>
      <c r="J58" s="913" t="str">
        <f t="shared" si="8"/>
        <v>Изменение стоимости основных фондов за счет их переоценки</v>
      </c>
      <c r="K58" s="913">
        <f t="shared" si="9"/>
        <v>0</v>
      </c>
      <c r="L58" s="757" t="str">
        <f t="shared" si="10"/>
        <v>4.2</v>
      </c>
      <c r="M58" s="757" t="str">
        <f t="shared" si="11"/>
        <v>Изменение стоимости основных фондов за счет их переоценки</v>
      </c>
      <c r="N58" s="757" t="str">
        <f t="shared" si="12"/>
        <v/>
      </c>
      <c r="O58" s="869" t="s">
        <v>308</v>
      </c>
      <c r="P58" s="869" t="s">
        <v>1481</v>
      </c>
      <c r="Q58" s="869" t="s">
        <v>1481</v>
      </c>
      <c r="R58" s="869" t="s">
        <v>1481</v>
      </c>
      <c r="S58" s="869"/>
      <c r="T58" s="756" t="s">
        <v>1482</v>
      </c>
      <c r="U58" s="756" t="s">
        <v>1482</v>
      </c>
      <c r="V58" s="756" t="s">
        <v>1482</v>
      </c>
      <c r="W58" s="756" t="s">
        <v>1482</v>
      </c>
      <c r="X58" s="756"/>
      <c r="Y58" s="910"/>
      <c r="Z58" s="759"/>
      <c r="AA58" s="762"/>
      <c r="AB58" s="759"/>
      <c r="AC58" s="759"/>
      <c r="AD58" s="759"/>
    </row>
    <row r="59" spans="1:30" ht="36" customHeight="1">
      <c r="A59" s="758"/>
      <c r="B59" s="814">
        <v>42</v>
      </c>
      <c r="C59" s="756">
        <v>3</v>
      </c>
      <c r="D59" s="879" t="s">
        <v>1457</v>
      </c>
      <c r="E59" s="756" t="s">
        <v>1457</v>
      </c>
      <c r="F59" s="756" t="s">
        <v>1457</v>
      </c>
      <c r="G59" s="756"/>
      <c r="H59" s="806"/>
      <c r="I59" s="913" t="str">
        <f t="shared" si="7"/>
        <v>5</v>
      </c>
      <c r="J59" s="913" t="str">
        <f t="shared" si="8"/>
        <v>Валовая прибыль (убытки) от продажи товаров и услуг по регулируемым видам деятельности в сфере холодного водоснабжения</v>
      </c>
      <c r="K59" s="913">
        <f t="shared" si="9"/>
        <v>0</v>
      </c>
      <c r="L59" s="757" t="str">
        <f t="shared" si="10"/>
        <v>5</v>
      </c>
      <c r="M59" s="757" t="str">
        <f t="shared" si="11"/>
        <v>Валовая прибыль (убытки) от продажи товаров и услуг по регулируемым видам деятельности в сфере холодного водоснабжения</v>
      </c>
      <c r="N59" s="757" t="str">
        <f t="shared" si="12"/>
        <v/>
      </c>
      <c r="O59" s="869"/>
      <c r="P59" s="869" t="s">
        <v>111</v>
      </c>
      <c r="Q59" s="869" t="s">
        <v>111</v>
      </c>
      <c r="R59" s="869" t="s">
        <v>111</v>
      </c>
      <c r="S59" s="869"/>
      <c r="T59" s="756"/>
      <c r="U59" s="756" t="s">
        <v>1483</v>
      </c>
      <c r="V59" s="756" t="s">
        <v>1484</v>
      </c>
      <c r="W59" s="756" t="s">
        <v>1485</v>
      </c>
      <c r="X59" s="756"/>
      <c r="Y59" s="910"/>
      <c r="Z59" s="759"/>
      <c r="AA59" s="762"/>
      <c r="AB59" s="759"/>
      <c r="AC59" s="759"/>
      <c r="AD59" s="759"/>
    </row>
    <row r="60" spans="1:30" ht="81" customHeight="1">
      <c r="A60" s="758"/>
      <c r="B60" s="814">
        <v>43</v>
      </c>
      <c r="C60" s="756" t="s">
        <v>1486</v>
      </c>
      <c r="D60" s="879" t="s">
        <v>1486</v>
      </c>
      <c r="E60" s="756" t="s">
        <v>1486</v>
      </c>
      <c r="F60" s="756" t="s">
        <v>1486</v>
      </c>
      <c r="G60" s="756"/>
      <c r="H60" s="806"/>
      <c r="I60" s="913" t="str">
        <f t="shared" si="7"/>
        <v>6</v>
      </c>
      <c r="J60" s="913" t="str">
        <f t="shared" si="8"/>
        <v>Годовая бухгалтерская (финансовая) отчетность, включая бухгалтерский баланс и приложения к нему</v>
      </c>
      <c r="K60" s="913" t="str">
        <f t="shared" si="9"/>
        <v>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v>
      </c>
      <c r="L60" s="757" t="str">
        <f t="shared" si="10"/>
        <v>6</v>
      </c>
      <c r="M60" s="757" t="str">
        <f t="shared" si="11"/>
        <v>Годовая бухгалтерская (финансовая) отчетность, включая бухгалтерский баланс и приложения к нему</v>
      </c>
      <c r="N60" s="757" t="str">
        <f t="shared" si="12"/>
        <v>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v>
      </c>
      <c r="O60" s="869" t="s">
        <v>92</v>
      </c>
      <c r="P60" s="869" t="s">
        <v>92</v>
      </c>
      <c r="Q60" s="869" t="s">
        <v>92</v>
      </c>
      <c r="R60" s="869" t="s">
        <v>92</v>
      </c>
      <c r="S60" s="869"/>
      <c r="T60" s="756" t="s">
        <v>1487</v>
      </c>
      <c r="U60" s="756" t="s">
        <v>1487</v>
      </c>
      <c r="V60" s="756" t="s">
        <v>1487</v>
      </c>
      <c r="W60" s="756" t="s">
        <v>1487</v>
      </c>
      <c r="X60" s="756"/>
      <c r="Y60" s="910"/>
      <c r="Z60" s="759" t="s">
        <v>1488</v>
      </c>
      <c r="AA60" s="762" t="s">
        <v>1489</v>
      </c>
      <c r="AB60" s="759" t="s">
        <v>1490</v>
      </c>
      <c r="AC60" s="759" t="s">
        <v>1489</v>
      </c>
      <c r="AD60" s="759"/>
    </row>
    <row r="61" spans="1:30" ht="9" customHeight="1">
      <c r="A61" s="758"/>
      <c r="B61" s="814">
        <v>44</v>
      </c>
      <c r="C61" s="756"/>
      <c r="D61" s="879" t="s">
        <v>1491</v>
      </c>
      <c r="E61" s="756"/>
      <c r="F61" s="756"/>
      <c r="G61" s="756"/>
      <c r="H61" s="806"/>
      <c r="I61" s="913" t="str">
        <f t="shared" si="7"/>
        <v>7</v>
      </c>
      <c r="J61" s="913" t="str">
        <f t="shared" si="8"/>
        <v>Объём поднятой воды</v>
      </c>
      <c r="K61" s="913">
        <f t="shared" si="9"/>
        <v>0</v>
      </c>
      <c r="L61" s="757" t="str">
        <f t="shared" si="10"/>
        <v>7</v>
      </c>
      <c r="M61" s="757" t="str">
        <f t="shared" si="11"/>
        <v>Объём поднятой воды</v>
      </c>
      <c r="N61" s="757" t="str">
        <f t="shared" si="12"/>
        <v/>
      </c>
      <c r="O61" s="869"/>
      <c r="P61" s="869" t="s">
        <v>93</v>
      </c>
      <c r="Q61" s="869"/>
      <c r="R61" s="869"/>
      <c r="S61" s="869"/>
      <c r="T61" s="756"/>
      <c r="U61" s="756" t="s">
        <v>1492</v>
      </c>
      <c r="V61" s="756"/>
      <c r="W61" s="756"/>
      <c r="X61" s="756"/>
      <c r="Y61" s="910"/>
      <c r="Z61" s="759"/>
      <c r="AA61" s="762"/>
      <c r="AB61" s="759"/>
      <c r="AC61" s="759"/>
      <c r="AD61" s="759"/>
    </row>
    <row r="62" spans="1:30" ht="9" customHeight="1">
      <c r="A62" s="758"/>
      <c r="B62" s="814">
        <v>45</v>
      </c>
      <c r="C62" s="756"/>
      <c r="D62" s="879" t="s">
        <v>1493</v>
      </c>
      <c r="E62" s="756"/>
      <c r="F62" s="756"/>
      <c r="G62" s="756"/>
      <c r="H62" s="806"/>
      <c r="I62" s="913" t="str">
        <f t="shared" si="7"/>
        <v>8</v>
      </c>
      <c r="J62" s="913" t="str">
        <f t="shared" si="8"/>
        <v>Объём покупной воды</v>
      </c>
      <c r="K62" s="913">
        <f t="shared" si="9"/>
        <v>0</v>
      </c>
      <c r="L62" s="757" t="str">
        <f t="shared" si="10"/>
        <v>8</v>
      </c>
      <c r="M62" s="757" t="str">
        <f t="shared" si="11"/>
        <v>Объём покупной воды</v>
      </c>
      <c r="N62" s="757" t="str">
        <f t="shared" si="12"/>
        <v/>
      </c>
      <c r="O62" s="869"/>
      <c r="P62" s="869" t="s">
        <v>112</v>
      </c>
      <c r="Q62" s="869"/>
      <c r="R62" s="869"/>
      <c r="S62" s="869"/>
      <c r="T62" s="756"/>
      <c r="U62" s="756" t="s">
        <v>1494</v>
      </c>
      <c r="V62" s="756"/>
      <c r="W62" s="756"/>
      <c r="X62" s="756"/>
      <c r="Y62" s="910"/>
      <c r="Z62" s="759"/>
      <c r="AA62" s="762"/>
      <c r="AB62" s="759"/>
      <c r="AC62" s="759"/>
      <c r="AD62" s="759"/>
    </row>
    <row r="63" spans="1:30" ht="18" customHeight="1">
      <c r="A63" s="758"/>
      <c r="B63" s="814">
        <v>46</v>
      </c>
      <c r="C63" s="756"/>
      <c r="D63" s="879" t="s">
        <v>1495</v>
      </c>
      <c r="E63" s="756"/>
      <c r="F63" s="756"/>
      <c r="G63" s="756"/>
      <c r="H63" s="806"/>
      <c r="I63" s="913" t="str">
        <f t="shared" si="7"/>
        <v>9</v>
      </c>
      <c r="J63" s="913" t="str">
        <f t="shared" si="8"/>
        <v>Объём воды, пропущенной через очистные сооружения</v>
      </c>
      <c r="K63" s="913">
        <f t="shared" si="9"/>
        <v>0</v>
      </c>
      <c r="L63" s="757" t="str">
        <f t="shared" si="10"/>
        <v>9</v>
      </c>
      <c r="M63" s="757" t="str">
        <f t="shared" si="11"/>
        <v>Объём воды, пропущенной через очистные сооружения</v>
      </c>
      <c r="N63" s="757" t="str">
        <f t="shared" si="12"/>
        <v/>
      </c>
      <c r="O63" s="869"/>
      <c r="P63" s="869" t="s">
        <v>153</v>
      </c>
      <c r="Q63" s="869"/>
      <c r="R63" s="869"/>
      <c r="S63" s="869"/>
      <c r="T63" s="756"/>
      <c r="U63" s="756" t="s">
        <v>1496</v>
      </c>
      <c r="V63" s="756"/>
      <c r="W63" s="756"/>
      <c r="X63" s="756"/>
      <c r="Y63" s="910"/>
      <c r="Z63" s="759"/>
      <c r="AA63" s="762"/>
      <c r="AB63" s="759"/>
      <c r="AC63" s="759"/>
      <c r="AD63" s="759"/>
    </row>
    <row r="64" spans="1:30" ht="18" customHeight="1">
      <c r="A64" s="758"/>
      <c r="B64" s="814">
        <v>47</v>
      </c>
      <c r="C64" s="756"/>
      <c r="D64" s="879" t="s">
        <v>1497</v>
      </c>
      <c r="E64" s="756"/>
      <c r="F64" s="756"/>
      <c r="G64" s="756"/>
      <c r="H64" s="806"/>
      <c r="I64" s="913" t="str">
        <f t="shared" si="7"/>
        <v>10</v>
      </c>
      <c r="J64" s="913" t="str">
        <f t="shared" si="8"/>
        <v>Объём отпущенной потребителям воды, в том числе:</v>
      </c>
      <c r="K64" s="913" t="str">
        <f t="shared" si="9"/>
        <v>Указывается общий объем отпущенной потребителям воды.</v>
      </c>
      <c r="L64" s="757" t="str">
        <f t="shared" si="10"/>
        <v>10</v>
      </c>
      <c r="M64" s="757" t="str">
        <f t="shared" si="11"/>
        <v>Объём отпущенной потребителям воды, в том числе:</v>
      </c>
      <c r="N64" s="757" t="str">
        <f t="shared" si="12"/>
        <v>Указывается общий объем отпущенной потребителям воды.</v>
      </c>
      <c r="O64" s="869"/>
      <c r="P64" s="869" t="s">
        <v>154</v>
      </c>
      <c r="Q64" s="869"/>
      <c r="R64" s="869"/>
      <c r="S64" s="869"/>
      <c r="T64" s="756"/>
      <c r="U64" s="756" t="s">
        <v>1498</v>
      </c>
      <c r="V64" s="756"/>
      <c r="W64" s="756"/>
      <c r="X64" s="756"/>
      <c r="Y64" s="910"/>
      <c r="Z64" s="759"/>
      <c r="AA64" s="762" t="s">
        <v>1499</v>
      </c>
      <c r="AB64" s="759"/>
      <c r="AC64" s="759"/>
      <c r="AD64" s="759"/>
    </row>
    <row r="65" spans="1:30" ht="18" customHeight="1">
      <c r="A65" s="758"/>
      <c r="B65" s="814">
        <v>48</v>
      </c>
      <c r="C65" s="756"/>
      <c r="D65" s="879"/>
      <c r="E65" s="756"/>
      <c r="F65" s="756"/>
      <c r="G65" s="756"/>
      <c r="H65" s="806"/>
      <c r="I65" s="913" t="str">
        <f t="shared" si="7"/>
        <v>10.1</v>
      </c>
      <c r="J65" s="913" t="str">
        <f t="shared" si="8"/>
        <v>Объём отпущенной потребителям воды, определенный по приборам учета</v>
      </c>
      <c r="K65" s="913">
        <f t="shared" si="9"/>
        <v>0</v>
      </c>
      <c r="L65" s="757" t="str">
        <f t="shared" si="10"/>
        <v>10.1</v>
      </c>
      <c r="M65" s="757" t="str">
        <f t="shared" si="11"/>
        <v>Объём отпущенной потребителям воды, определенный по приборам учета</v>
      </c>
      <c r="N65" s="757" t="str">
        <f t="shared" si="12"/>
        <v/>
      </c>
      <c r="O65" s="869"/>
      <c r="P65" s="869" t="s">
        <v>1396</v>
      </c>
      <c r="Q65" s="869"/>
      <c r="R65" s="869"/>
      <c r="S65" s="869"/>
      <c r="T65" s="756"/>
      <c r="U65" s="756" t="s">
        <v>1500</v>
      </c>
      <c r="V65" s="756"/>
      <c r="W65" s="756"/>
      <c r="X65" s="756"/>
      <c r="Y65" s="910"/>
      <c r="Z65" s="759"/>
      <c r="AA65" s="762"/>
      <c r="AB65" s="759"/>
      <c r="AC65" s="759"/>
      <c r="AD65" s="759"/>
    </row>
    <row r="66" spans="1:30" ht="18" customHeight="1">
      <c r="A66" s="758"/>
      <c r="B66" s="814">
        <v>49</v>
      </c>
      <c r="C66" s="756"/>
      <c r="D66" s="879"/>
      <c r="E66" s="756"/>
      <c r="F66" s="756"/>
      <c r="G66" s="756"/>
      <c r="H66" s="806"/>
      <c r="I66" s="913" t="str">
        <f t="shared" si="7"/>
        <v>10.2</v>
      </c>
      <c r="J66" s="913" t="str">
        <f t="shared" si="8"/>
        <v>Объём отпущенной потребителям воды, определенный расчетным способом</v>
      </c>
      <c r="K66" s="913">
        <f t="shared" si="9"/>
        <v>0</v>
      </c>
      <c r="L66" s="757" t="str">
        <f t="shared" si="10"/>
        <v>10.2</v>
      </c>
      <c r="M66" s="757" t="str">
        <f t="shared" si="11"/>
        <v>Объём отпущенной потребителям воды, определенный расчетным способом</v>
      </c>
      <c r="N66" s="757" t="str">
        <f t="shared" si="12"/>
        <v/>
      </c>
      <c r="O66" s="869"/>
      <c r="P66" s="869" t="s">
        <v>1400</v>
      </c>
      <c r="Q66" s="869"/>
      <c r="R66" s="869"/>
      <c r="S66" s="869"/>
      <c r="T66" s="756"/>
      <c r="U66" s="756" t="s">
        <v>1501</v>
      </c>
      <c r="V66" s="756"/>
      <c r="W66" s="756"/>
      <c r="X66" s="756"/>
      <c r="Y66" s="910"/>
      <c r="Z66" s="759"/>
      <c r="AA66" s="762"/>
      <c r="AB66" s="759"/>
      <c r="AC66" s="759"/>
      <c r="AD66" s="759"/>
    </row>
    <row r="67" spans="1:30" ht="27" customHeight="1">
      <c r="A67" s="758"/>
      <c r="B67" s="814">
        <v>50</v>
      </c>
      <c r="C67" s="756"/>
      <c r="D67" s="879"/>
      <c r="E67" s="756"/>
      <c r="F67" s="756"/>
      <c r="G67" s="756"/>
      <c r="H67" s="806"/>
      <c r="I67" s="913" t="str">
        <f t="shared" si="7"/>
        <v>10.2.1</v>
      </c>
      <c r="J67" s="913" t="str">
        <f t="shared" si="8"/>
        <v>Объём отпущенной потребителям воды, определенный по нормативам потребления коммунальных услуг</v>
      </c>
      <c r="K67" s="913">
        <f t="shared" si="9"/>
        <v>0</v>
      </c>
      <c r="L67" s="757" t="str">
        <f t="shared" si="10"/>
        <v>10.2.1</v>
      </c>
      <c r="M67" s="757" t="str">
        <f t="shared" si="11"/>
        <v>Объём отпущенной потребителям воды, определенный по нормативам потребления коммунальных услуг</v>
      </c>
      <c r="N67" s="757" t="str">
        <f t="shared" si="12"/>
        <v/>
      </c>
      <c r="O67" s="869"/>
      <c r="P67" s="869" t="s">
        <v>1502</v>
      </c>
      <c r="Q67" s="869"/>
      <c r="R67" s="869"/>
      <c r="S67" s="869"/>
      <c r="T67" s="756"/>
      <c r="U67" s="756" t="s">
        <v>1503</v>
      </c>
      <c r="V67" s="756"/>
      <c r="W67" s="756"/>
      <c r="X67" s="756"/>
      <c r="Y67" s="910"/>
      <c r="Z67" s="759"/>
      <c r="AA67" s="762"/>
      <c r="AB67" s="759"/>
      <c r="AC67" s="759"/>
      <c r="AD67" s="759"/>
    </row>
    <row r="68" spans="1:30" ht="27" customHeight="1">
      <c r="A68" s="758"/>
      <c r="B68" s="814">
        <v>51</v>
      </c>
      <c r="C68" s="756"/>
      <c r="D68" s="879"/>
      <c r="E68" s="756"/>
      <c r="F68" s="756"/>
      <c r="G68" s="756"/>
      <c r="H68" s="806"/>
      <c r="I68" s="913" t="str">
        <f t="shared" si="7"/>
        <v>10.2.2</v>
      </c>
      <c r="J68" s="913" t="str">
        <f t="shared" si="8"/>
        <v xml:space="preserve">Объём отпущенной потребителям воды, определенный по нормативам потребления коммунальных ресурсов </v>
      </c>
      <c r="K68" s="913">
        <f t="shared" si="9"/>
        <v>0</v>
      </c>
      <c r="L68" s="757" t="str">
        <f t="shared" si="10"/>
        <v>10.2.2</v>
      </c>
      <c r="M68" s="757" t="str">
        <f t="shared" si="11"/>
        <v xml:space="preserve">Объём отпущенной потребителям воды, определенный по нормативам потребления коммунальных ресурсов </v>
      </c>
      <c r="N68" s="757" t="str">
        <f t="shared" si="12"/>
        <v/>
      </c>
      <c r="O68" s="869"/>
      <c r="P68" s="869" t="s">
        <v>1504</v>
      </c>
      <c r="Q68" s="869"/>
      <c r="R68" s="869"/>
      <c r="S68" s="869"/>
      <c r="T68" s="756"/>
      <c r="U68" s="756" t="s">
        <v>1505</v>
      </c>
      <c r="V68" s="756"/>
      <c r="W68" s="756"/>
      <c r="X68" s="756"/>
      <c r="Y68" s="910"/>
      <c r="Z68" s="759"/>
      <c r="AA68" s="762"/>
      <c r="AB68" s="759"/>
      <c r="AC68" s="759"/>
      <c r="AD68" s="759"/>
    </row>
    <row r="69" spans="1:30" ht="9" customHeight="1">
      <c r="A69" s="758"/>
      <c r="B69" s="814">
        <v>52</v>
      </c>
      <c r="C69" s="756"/>
      <c r="D69" s="879" t="s">
        <v>1506</v>
      </c>
      <c r="E69" s="756"/>
      <c r="F69" s="756"/>
      <c r="G69" s="756"/>
      <c r="H69" s="806"/>
      <c r="I69" s="913" t="str">
        <f t="shared" si="7"/>
        <v>11</v>
      </c>
      <c r="J69" s="913" t="str">
        <f t="shared" si="8"/>
        <v>Потери воды в сетях</v>
      </c>
      <c r="K69" s="913">
        <f t="shared" si="9"/>
        <v>0</v>
      </c>
      <c r="L69" s="757" t="str">
        <f t="shared" si="10"/>
        <v>11</v>
      </c>
      <c r="M69" s="757" t="str">
        <f t="shared" si="11"/>
        <v>Потери воды в сетях</v>
      </c>
      <c r="N69" s="757" t="str">
        <f t="shared" si="12"/>
        <v/>
      </c>
      <c r="O69" s="869"/>
      <c r="P69" s="869" t="s">
        <v>155</v>
      </c>
      <c r="Q69" s="869"/>
      <c r="R69" s="869"/>
      <c r="S69" s="869"/>
      <c r="T69" s="756"/>
      <c r="U69" s="756" t="s">
        <v>1507</v>
      </c>
      <c r="V69" s="756"/>
      <c r="W69" s="756"/>
      <c r="X69" s="756"/>
      <c r="Y69" s="910"/>
      <c r="Z69" s="759"/>
      <c r="AA69" s="762"/>
      <c r="AB69" s="759"/>
      <c r="AC69" s="759"/>
      <c r="AD69" s="759"/>
    </row>
    <row r="70" spans="1:30" ht="27" customHeight="1">
      <c r="A70" s="758"/>
      <c r="B70" s="814">
        <v>53</v>
      </c>
      <c r="C70" s="756"/>
      <c r="D70" s="879"/>
      <c r="E70" s="756" t="s">
        <v>1491</v>
      </c>
      <c r="F70" s="756"/>
      <c r="G70" s="756"/>
      <c r="H70" s="806"/>
      <c r="I70" s="913">
        <f t="shared" si="7"/>
        <v>0</v>
      </c>
      <c r="J70" s="913">
        <f t="shared" si="8"/>
        <v>0</v>
      </c>
      <c r="K70" s="913">
        <f t="shared" si="9"/>
        <v>0</v>
      </c>
      <c r="L70" s="757" t="str">
        <f t="shared" si="10"/>
        <v/>
      </c>
      <c r="M70" s="757" t="str">
        <f t="shared" si="11"/>
        <v/>
      </c>
      <c r="N70" s="757" t="str">
        <f t="shared" si="12"/>
        <v/>
      </c>
      <c r="O70" s="869"/>
      <c r="P70" s="869"/>
      <c r="Q70" s="869" t="s">
        <v>93</v>
      </c>
      <c r="R70" s="869"/>
      <c r="S70" s="869"/>
      <c r="T70" s="756"/>
      <c r="U70" s="756"/>
      <c r="V70" s="756" t="s">
        <v>1508</v>
      </c>
      <c r="W70" s="756"/>
      <c r="X70" s="756"/>
      <c r="Y70" s="910"/>
      <c r="Z70" s="759"/>
      <c r="AA70" s="762"/>
      <c r="AB70" s="759"/>
      <c r="AC70" s="759"/>
      <c r="AD70" s="759"/>
    </row>
    <row r="71" spans="1:30" ht="36" customHeight="1">
      <c r="A71" s="758"/>
      <c r="B71" s="814">
        <v>54</v>
      </c>
      <c r="C71" s="756"/>
      <c r="D71" s="879"/>
      <c r="E71" s="756" t="s">
        <v>1493</v>
      </c>
      <c r="F71" s="756"/>
      <c r="G71" s="756"/>
      <c r="H71" s="806"/>
      <c r="I71" s="913">
        <f t="shared" si="7"/>
        <v>0</v>
      </c>
      <c r="J71" s="913">
        <f t="shared" si="8"/>
        <v>0</v>
      </c>
      <c r="K71" s="913">
        <f t="shared" si="9"/>
        <v>0</v>
      </c>
      <c r="L71" s="757" t="str">
        <f t="shared" si="10"/>
        <v/>
      </c>
      <c r="M71" s="757" t="str">
        <f t="shared" si="11"/>
        <v/>
      </c>
      <c r="N71" s="757" t="str">
        <f t="shared" si="12"/>
        <v/>
      </c>
      <c r="O71" s="869"/>
      <c r="P71" s="869"/>
      <c r="Q71" s="869" t="s">
        <v>112</v>
      </c>
      <c r="R71" s="869"/>
      <c r="S71" s="869"/>
      <c r="T71" s="756"/>
      <c r="U71" s="756"/>
      <c r="V71" s="756" t="s">
        <v>1509</v>
      </c>
      <c r="W71" s="756"/>
      <c r="X71" s="756"/>
      <c r="Y71" s="910"/>
      <c r="Z71" s="759"/>
      <c r="AA71" s="762"/>
      <c r="AB71" s="759"/>
      <c r="AC71" s="759"/>
      <c r="AD71" s="759"/>
    </row>
    <row r="72" spans="1:30" ht="27" customHeight="1">
      <c r="A72" s="758"/>
      <c r="B72" s="814">
        <v>55</v>
      </c>
      <c r="C72" s="756"/>
      <c r="D72" s="879"/>
      <c r="E72" s="756" t="s">
        <v>1495</v>
      </c>
      <c r="F72" s="756"/>
      <c r="G72" s="756"/>
      <c r="H72" s="806"/>
      <c r="I72" s="913">
        <f t="shared" si="7"/>
        <v>0</v>
      </c>
      <c r="J72" s="913">
        <f t="shared" si="8"/>
        <v>0</v>
      </c>
      <c r="K72" s="913">
        <f t="shared" si="9"/>
        <v>0</v>
      </c>
      <c r="L72" s="757" t="str">
        <f t="shared" si="10"/>
        <v/>
      </c>
      <c r="M72" s="757" t="str">
        <f t="shared" si="11"/>
        <v/>
      </c>
      <c r="N72" s="757" t="str">
        <f t="shared" si="12"/>
        <v/>
      </c>
      <c r="O72" s="869"/>
      <c r="P72" s="869"/>
      <c r="Q72" s="869" t="s">
        <v>153</v>
      </c>
      <c r="R72" s="869"/>
      <c r="S72" s="869"/>
      <c r="T72" s="756"/>
      <c r="U72" s="756"/>
      <c r="V72" s="756" t="s">
        <v>1510</v>
      </c>
      <c r="W72" s="756"/>
      <c r="X72" s="756"/>
      <c r="Y72" s="910"/>
      <c r="Z72" s="759"/>
      <c r="AA72" s="762"/>
      <c r="AB72" s="759"/>
      <c r="AC72" s="759"/>
      <c r="AD72" s="759"/>
    </row>
    <row r="73" spans="1:30" ht="36" customHeight="1">
      <c r="A73" s="758"/>
      <c r="B73" s="814">
        <v>56</v>
      </c>
      <c r="C73" s="756"/>
      <c r="D73" s="879"/>
      <c r="E73" s="756" t="s">
        <v>1497</v>
      </c>
      <c r="F73" s="756"/>
      <c r="G73" s="756"/>
      <c r="H73" s="806"/>
      <c r="I73" s="913">
        <f t="shared" si="7"/>
        <v>0</v>
      </c>
      <c r="J73" s="913">
        <f t="shared" si="8"/>
        <v>0</v>
      </c>
      <c r="K73" s="913">
        <f t="shared" si="9"/>
        <v>0</v>
      </c>
      <c r="L73" s="757" t="str">
        <f t="shared" si="10"/>
        <v/>
      </c>
      <c r="M73" s="757" t="str">
        <f t="shared" si="11"/>
        <v/>
      </c>
      <c r="N73" s="757" t="str">
        <f t="shared" si="12"/>
        <v/>
      </c>
      <c r="O73" s="869"/>
      <c r="P73" s="869"/>
      <c r="Q73" s="869" t="s">
        <v>154</v>
      </c>
      <c r="R73" s="869"/>
      <c r="S73" s="869"/>
      <c r="T73" s="756"/>
      <c r="U73" s="756"/>
      <c r="V73" s="756" t="s">
        <v>1511</v>
      </c>
      <c r="W73" s="756"/>
      <c r="X73" s="756"/>
      <c r="Y73" s="910"/>
      <c r="Z73" s="759"/>
      <c r="AA73" s="762"/>
      <c r="AB73" s="759"/>
      <c r="AC73" s="759"/>
      <c r="AD73" s="759"/>
    </row>
    <row r="74" spans="1:30" ht="18" customHeight="1">
      <c r="A74" s="758"/>
      <c r="B74" s="814">
        <v>57</v>
      </c>
      <c r="C74" s="756"/>
      <c r="D74" s="879"/>
      <c r="E74" s="756" t="s">
        <v>1506</v>
      </c>
      <c r="F74" s="756"/>
      <c r="G74" s="756"/>
      <c r="H74" s="806"/>
      <c r="I74" s="913">
        <f t="shared" si="7"/>
        <v>0</v>
      </c>
      <c r="J74" s="913">
        <f t="shared" si="8"/>
        <v>0</v>
      </c>
      <c r="K74" s="913">
        <f t="shared" si="9"/>
        <v>0</v>
      </c>
      <c r="L74" s="757" t="str">
        <f t="shared" si="10"/>
        <v/>
      </c>
      <c r="M74" s="757" t="str">
        <f t="shared" si="11"/>
        <v/>
      </c>
      <c r="N74" s="757" t="str">
        <f t="shared" si="12"/>
        <v/>
      </c>
      <c r="O74" s="869"/>
      <c r="P74" s="869"/>
      <c r="Q74" s="869" t="s">
        <v>155</v>
      </c>
      <c r="R74" s="869"/>
      <c r="S74" s="869"/>
      <c r="T74" s="756"/>
      <c r="U74" s="756"/>
      <c r="V74" s="756" t="s">
        <v>1512</v>
      </c>
      <c r="W74" s="756"/>
      <c r="X74" s="756"/>
      <c r="Y74" s="910"/>
      <c r="Z74" s="759"/>
      <c r="AA74" s="762"/>
      <c r="AB74" s="759"/>
      <c r="AC74" s="759"/>
      <c r="AD74" s="759"/>
    </row>
    <row r="75" spans="1:30" ht="18" customHeight="1">
      <c r="A75" s="758"/>
      <c r="B75" s="814">
        <v>58</v>
      </c>
      <c r="C75" s="756"/>
      <c r="D75" s="879"/>
      <c r="E75" s="756"/>
      <c r="F75" s="756" t="s">
        <v>1491</v>
      </c>
      <c r="G75" s="756"/>
      <c r="H75" s="806"/>
      <c r="I75" s="913">
        <f t="shared" si="7"/>
        <v>0</v>
      </c>
      <c r="J75" s="913">
        <f t="shared" si="8"/>
        <v>0</v>
      </c>
      <c r="K75" s="913">
        <f t="shared" si="9"/>
        <v>0</v>
      </c>
      <c r="L75" s="757" t="str">
        <f t="shared" si="10"/>
        <v/>
      </c>
      <c r="M75" s="757" t="str">
        <f t="shared" si="11"/>
        <v/>
      </c>
      <c r="N75" s="757" t="str">
        <f t="shared" si="12"/>
        <v/>
      </c>
      <c r="O75" s="869"/>
      <c r="P75" s="869"/>
      <c r="Q75" s="869"/>
      <c r="R75" s="869" t="s">
        <v>93</v>
      </c>
      <c r="S75" s="869"/>
      <c r="T75" s="756"/>
      <c r="U75" s="756"/>
      <c r="V75" s="756"/>
      <c r="W75" s="756" t="s">
        <v>1513</v>
      </c>
      <c r="X75" s="756"/>
      <c r="Y75" s="910"/>
      <c r="Z75" s="759"/>
      <c r="AA75" s="762"/>
      <c r="AB75" s="759"/>
      <c r="AC75" s="759"/>
      <c r="AD75" s="759"/>
    </row>
    <row r="76" spans="1:30" ht="36" customHeight="1">
      <c r="A76" s="758"/>
      <c r="B76" s="814">
        <v>59</v>
      </c>
      <c r="C76" s="756"/>
      <c r="D76" s="879"/>
      <c r="E76" s="756"/>
      <c r="F76" s="756" t="s">
        <v>1493</v>
      </c>
      <c r="G76" s="756"/>
      <c r="H76" s="806"/>
      <c r="I76" s="913">
        <f t="shared" si="7"/>
        <v>0</v>
      </c>
      <c r="J76" s="913">
        <f t="shared" si="8"/>
        <v>0</v>
      </c>
      <c r="K76" s="913">
        <f t="shared" si="9"/>
        <v>0</v>
      </c>
      <c r="L76" s="757" t="str">
        <f t="shared" si="10"/>
        <v/>
      </c>
      <c r="M76" s="757" t="str">
        <f t="shared" si="11"/>
        <v/>
      </c>
      <c r="N76" s="757" t="str">
        <f t="shared" si="12"/>
        <v/>
      </c>
      <c r="O76" s="869"/>
      <c r="P76" s="869"/>
      <c r="Q76" s="869"/>
      <c r="R76" s="869" t="s">
        <v>112</v>
      </c>
      <c r="S76" s="869"/>
      <c r="T76" s="756"/>
      <c r="U76" s="756"/>
      <c r="V76" s="756"/>
      <c r="W76" s="756" t="s">
        <v>1514</v>
      </c>
      <c r="X76" s="756"/>
      <c r="Y76" s="910"/>
      <c r="Z76" s="759"/>
      <c r="AA76" s="762"/>
      <c r="AB76" s="759"/>
      <c r="AC76" s="759"/>
      <c r="AD76" s="759"/>
    </row>
    <row r="77" spans="1:30" ht="18" customHeight="1">
      <c r="A77" s="758"/>
      <c r="B77" s="814">
        <v>60</v>
      </c>
      <c r="C77" s="756"/>
      <c r="D77" s="879"/>
      <c r="E77" s="756"/>
      <c r="F77" s="756" t="s">
        <v>1495</v>
      </c>
      <c r="G77" s="756"/>
      <c r="H77" s="806"/>
      <c r="I77" s="913">
        <f t="shared" si="7"/>
        <v>0</v>
      </c>
      <c r="J77" s="913">
        <f t="shared" si="8"/>
        <v>0</v>
      </c>
      <c r="K77" s="913">
        <f t="shared" si="9"/>
        <v>0</v>
      </c>
      <c r="L77" s="757" t="str">
        <f t="shared" si="10"/>
        <v/>
      </c>
      <c r="M77" s="757" t="str">
        <f t="shared" si="11"/>
        <v/>
      </c>
      <c r="N77" s="757" t="str">
        <f t="shared" si="12"/>
        <v/>
      </c>
      <c r="O77" s="869"/>
      <c r="P77" s="869"/>
      <c r="Q77" s="869"/>
      <c r="R77" s="869" t="s">
        <v>153</v>
      </c>
      <c r="S77" s="869"/>
      <c r="T77" s="756"/>
      <c r="U77" s="756"/>
      <c r="V77" s="756"/>
      <c r="W77" s="756" t="s">
        <v>1515</v>
      </c>
      <c r="X77" s="756"/>
      <c r="Y77" s="910"/>
      <c r="Z77" s="759"/>
      <c r="AA77" s="762"/>
      <c r="AB77" s="759"/>
      <c r="AC77" s="759"/>
      <c r="AD77" s="759"/>
    </row>
    <row r="78" spans="1:30" ht="72" customHeight="1">
      <c r="A78" s="758"/>
      <c r="B78" s="814">
        <v>61</v>
      </c>
      <c r="C78" s="756" t="s">
        <v>1491</v>
      </c>
      <c r="D78" s="879"/>
      <c r="E78" s="756"/>
      <c r="F78" s="756"/>
      <c r="G78" s="756"/>
      <c r="H78" s="806"/>
      <c r="I78" s="913">
        <f t="shared" si="7"/>
        <v>0</v>
      </c>
      <c r="J78" s="913">
        <f t="shared" si="8"/>
        <v>0</v>
      </c>
      <c r="K78" s="913">
        <f t="shared" si="9"/>
        <v>0</v>
      </c>
      <c r="L78" s="757" t="str">
        <f t="shared" si="10"/>
        <v/>
      </c>
      <c r="M78" s="757" t="str">
        <f t="shared" si="11"/>
        <v/>
      </c>
      <c r="N78" s="757" t="str">
        <f t="shared" si="12"/>
        <v/>
      </c>
      <c r="O78" s="869" t="s">
        <v>93</v>
      </c>
      <c r="P78" s="869"/>
      <c r="Q78" s="869"/>
      <c r="R78" s="869"/>
      <c r="S78" s="869"/>
      <c r="T78" s="756" t="s">
        <v>1516</v>
      </c>
      <c r="U78" s="756"/>
      <c r="V78" s="756"/>
      <c r="W78" s="756"/>
      <c r="X78" s="756"/>
      <c r="Y78" s="910"/>
      <c r="Z78" s="759" t="s">
        <v>1517</v>
      </c>
      <c r="AA78" s="762"/>
      <c r="AB78" s="759"/>
      <c r="AC78" s="759"/>
      <c r="AD78" s="759"/>
    </row>
    <row r="79" spans="1:30" ht="36" customHeight="1">
      <c r="A79" s="758"/>
      <c r="B79" s="814">
        <v>62</v>
      </c>
      <c r="C79" s="756" t="s">
        <v>1493</v>
      </c>
      <c r="D79" s="879"/>
      <c r="E79" s="756"/>
      <c r="F79" s="756"/>
      <c r="G79" s="756"/>
      <c r="H79" s="806"/>
      <c r="I79" s="913">
        <f t="shared" si="7"/>
        <v>0</v>
      </c>
      <c r="J79" s="913">
        <f t="shared" si="8"/>
        <v>0</v>
      </c>
      <c r="K79" s="913">
        <f t="shared" si="9"/>
        <v>0</v>
      </c>
      <c r="L79" s="757" t="str">
        <f t="shared" si="10"/>
        <v/>
      </c>
      <c r="M79" s="757" t="str">
        <f t="shared" si="11"/>
        <v/>
      </c>
      <c r="N79" s="757" t="str">
        <f t="shared" si="12"/>
        <v/>
      </c>
      <c r="O79" s="869" t="s">
        <v>112</v>
      </c>
      <c r="P79" s="869"/>
      <c r="Q79" s="869"/>
      <c r="R79" s="869"/>
      <c r="S79" s="869"/>
      <c r="T79" s="756" t="s">
        <v>1518</v>
      </c>
      <c r="U79" s="756"/>
      <c r="V79" s="756"/>
      <c r="W79" s="756"/>
      <c r="X79" s="756"/>
      <c r="Y79" s="910"/>
      <c r="Z79" s="759" t="s">
        <v>1519</v>
      </c>
      <c r="AA79" s="762"/>
      <c r="AB79" s="759"/>
      <c r="AC79" s="759"/>
      <c r="AD79" s="759"/>
    </row>
    <row r="80" spans="1:30" ht="45" customHeight="1">
      <c r="A80" s="758"/>
      <c r="B80" s="814">
        <v>63</v>
      </c>
      <c r="C80" s="756" t="s">
        <v>1495</v>
      </c>
      <c r="D80" s="879"/>
      <c r="E80" s="756"/>
      <c r="F80" s="756"/>
      <c r="G80" s="756"/>
      <c r="H80" s="806"/>
      <c r="I80" s="913">
        <f t="shared" si="7"/>
        <v>0</v>
      </c>
      <c r="J80" s="913">
        <f t="shared" si="8"/>
        <v>0</v>
      </c>
      <c r="K80" s="913">
        <f t="shared" si="9"/>
        <v>0</v>
      </c>
      <c r="L80" s="757" t="str">
        <f t="shared" si="10"/>
        <v/>
      </c>
      <c r="M80" s="757" t="str">
        <f t="shared" si="11"/>
        <v/>
      </c>
      <c r="N80" s="757" t="str">
        <f t="shared" si="12"/>
        <v/>
      </c>
      <c r="O80" s="869" t="s">
        <v>153</v>
      </c>
      <c r="P80" s="869"/>
      <c r="Q80" s="869"/>
      <c r="R80" s="869"/>
      <c r="S80" s="869"/>
      <c r="T80" s="756" t="s">
        <v>1520</v>
      </c>
      <c r="U80" s="756"/>
      <c r="V80" s="756"/>
      <c r="W80" s="756"/>
      <c r="X80" s="756"/>
      <c r="Y80" s="910"/>
      <c r="Z80" s="759" t="s">
        <v>1521</v>
      </c>
      <c r="AA80" s="762"/>
      <c r="AB80" s="759"/>
      <c r="AC80" s="759"/>
      <c r="AD80" s="759"/>
    </row>
    <row r="81" spans="1:30" ht="36" customHeight="1">
      <c r="A81" s="758"/>
      <c r="B81" s="814">
        <v>64</v>
      </c>
      <c r="C81" s="756" t="s">
        <v>1497</v>
      </c>
      <c r="D81" s="879"/>
      <c r="E81" s="756"/>
      <c r="F81" s="756"/>
      <c r="G81" s="756"/>
      <c r="H81" s="806"/>
      <c r="I81" s="913">
        <f t="shared" si="7"/>
        <v>0</v>
      </c>
      <c r="J81" s="913">
        <f t="shared" si="8"/>
        <v>0</v>
      </c>
      <c r="K81" s="913">
        <f t="shared" si="9"/>
        <v>0</v>
      </c>
      <c r="L81" s="757" t="str">
        <f t="shared" si="10"/>
        <v/>
      </c>
      <c r="M81" s="757" t="str">
        <f t="shared" si="11"/>
        <v/>
      </c>
      <c r="N81" s="757" t="str">
        <f t="shared" si="12"/>
        <v/>
      </c>
      <c r="O81" s="869" t="s">
        <v>1384</v>
      </c>
      <c r="P81" s="869"/>
      <c r="Q81" s="869"/>
      <c r="R81" s="869"/>
      <c r="S81" s="869"/>
      <c r="T81" s="756" t="s">
        <v>1522</v>
      </c>
      <c r="U81" s="756"/>
      <c r="V81" s="756"/>
      <c r="W81" s="756"/>
      <c r="X81" s="756"/>
      <c r="Y81" s="910"/>
      <c r="Z81" s="759" t="s">
        <v>1523</v>
      </c>
      <c r="AA81" s="762"/>
      <c r="AB81" s="759"/>
      <c r="AC81" s="759"/>
      <c r="AD81" s="759"/>
    </row>
    <row r="82" spans="1:30" ht="90" customHeight="1">
      <c r="A82" s="758"/>
      <c r="B82" s="814">
        <v>65</v>
      </c>
      <c r="C82" s="756" t="s">
        <v>1506</v>
      </c>
      <c r="D82" s="879"/>
      <c r="E82" s="756"/>
      <c r="F82" s="756"/>
      <c r="G82" s="756"/>
      <c r="H82" s="806"/>
      <c r="I82" s="913">
        <f t="shared" ref="I82:I101" si="13">INDEX(TEMPLATE_NUMBER_POINT_FHD,B82,MATCH(TEMPLATE_SPHERE,TEMPLATE_SPHERE_LIST_FOR_NOTE,0))</f>
        <v>0</v>
      </c>
      <c r="J82" s="913">
        <f t="shared" ref="J82:J101" si="14">INDEX(TEMPLATE_DATA_POINT_FHD,B82,MATCH(TEMPLATE_SPHERE,TEMPLATE_SPHERE_LIST_FOR_NOTE,0))</f>
        <v>0</v>
      </c>
      <c r="K82" s="913">
        <f t="shared" ref="K82:K101" si="15">INDEX(TEMPLATE_NOTE_POINT_FHD,B82,MATCH(TEMPLATE_SPHERE,TEMPLATE_SPHERE_LIST_FOR_NOTE,0))</f>
        <v>0</v>
      </c>
      <c r="L82" s="757" t="str">
        <f t="shared" ref="L82:L101" si="16">IF(I82=0,"",I82)</f>
        <v/>
      </c>
      <c r="M82" s="757" t="str">
        <f t="shared" ref="M82:M101" si="17">IF(J82=0,"",J82)</f>
        <v/>
      </c>
      <c r="N82" s="757" t="str">
        <f t="shared" ref="N82:N101" si="18">IF(K82=0,"",K82)</f>
        <v/>
      </c>
      <c r="O82" s="869" t="s">
        <v>154</v>
      </c>
      <c r="P82" s="869"/>
      <c r="Q82" s="869"/>
      <c r="R82" s="869"/>
      <c r="S82" s="869"/>
      <c r="T82" s="756" t="s">
        <v>1524</v>
      </c>
      <c r="U82" s="756"/>
      <c r="V82" s="756"/>
      <c r="W82" s="756"/>
      <c r="X82" s="756"/>
      <c r="Y82" s="910"/>
      <c r="Z82" s="759" t="s">
        <v>1525</v>
      </c>
      <c r="AA82" s="762"/>
      <c r="AB82" s="759"/>
      <c r="AC82" s="759"/>
      <c r="AD82" s="759"/>
    </row>
    <row r="83" spans="1:30" ht="9" customHeight="1">
      <c r="A83" s="758"/>
      <c r="B83" s="814">
        <v>66</v>
      </c>
      <c r="C83" s="756"/>
      <c r="D83" s="879"/>
      <c r="E83" s="756"/>
      <c r="F83" s="756"/>
      <c r="G83" s="756"/>
      <c r="H83" s="806"/>
      <c r="I83" s="913">
        <f t="shared" si="13"/>
        <v>0</v>
      </c>
      <c r="J83" s="913">
        <f t="shared" si="14"/>
        <v>0</v>
      </c>
      <c r="K83" s="913">
        <f t="shared" si="15"/>
        <v>0</v>
      </c>
      <c r="L83" s="757" t="str">
        <f t="shared" si="16"/>
        <v/>
      </c>
      <c r="M83" s="757" t="str">
        <f t="shared" si="17"/>
        <v/>
      </c>
      <c r="N83" s="757" t="str">
        <f t="shared" si="18"/>
        <v/>
      </c>
      <c r="O83" s="869" t="s">
        <v>1396</v>
      </c>
      <c r="P83" s="869"/>
      <c r="Q83" s="869"/>
      <c r="R83" s="869"/>
      <c r="S83" s="869"/>
      <c r="T83" s="756" t="s">
        <v>1526</v>
      </c>
      <c r="U83" s="756"/>
      <c r="V83" s="756"/>
      <c r="W83" s="756"/>
      <c r="X83" s="756"/>
      <c r="Y83" s="910"/>
      <c r="Z83" s="759"/>
      <c r="AA83" s="762"/>
      <c r="AB83" s="759"/>
      <c r="AC83" s="759"/>
      <c r="AD83" s="759"/>
    </row>
    <row r="84" spans="1:30" ht="54" customHeight="1">
      <c r="A84" s="758"/>
      <c r="B84" s="814">
        <v>67</v>
      </c>
      <c r="C84" s="756"/>
      <c r="D84" s="879"/>
      <c r="E84" s="756"/>
      <c r="F84" s="756"/>
      <c r="G84" s="756"/>
      <c r="H84" s="806"/>
      <c r="I84" s="913">
        <f t="shared" si="13"/>
        <v>0</v>
      </c>
      <c r="J84" s="913">
        <f t="shared" si="14"/>
        <v>0</v>
      </c>
      <c r="K84" s="913">
        <f t="shared" si="15"/>
        <v>0</v>
      </c>
      <c r="L84" s="757" t="str">
        <f t="shared" si="16"/>
        <v/>
      </c>
      <c r="M84" s="757" t="str">
        <f t="shared" si="17"/>
        <v/>
      </c>
      <c r="N84" s="757" t="str">
        <f t="shared" si="18"/>
        <v/>
      </c>
      <c r="O84" s="869" t="s">
        <v>1527</v>
      </c>
      <c r="P84" s="869"/>
      <c r="Q84" s="869"/>
      <c r="R84" s="869"/>
      <c r="S84" s="869"/>
      <c r="T84" s="756" t="s">
        <v>1528</v>
      </c>
      <c r="U84" s="756"/>
      <c r="V84" s="756"/>
      <c r="W84" s="756"/>
      <c r="X84" s="756"/>
      <c r="Y84" s="910"/>
      <c r="Z84" s="759"/>
      <c r="AA84" s="762"/>
      <c r="AB84" s="759"/>
      <c r="AC84" s="759"/>
      <c r="AD84" s="759"/>
    </row>
    <row r="85" spans="1:30" ht="9" customHeight="1">
      <c r="A85" s="758"/>
      <c r="B85" s="814">
        <v>68</v>
      </c>
      <c r="C85" s="756"/>
      <c r="D85" s="879"/>
      <c r="E85" s="756"/>
      <c r="F85" s="756"/>
      <c r="G85" s="756"/>
      <c r="H85" s="806"/>
      <c r="I85" s="913">
        <f t="shared" si="13"/>
        <v>0</v>
      </c>
      <c r="J85" s="913">
        <f t="shared" si="14"/>
        <v>0</v>
      </c>
      <c r="K85" s="913">
        <f t="shared" si="15"/>
        <v>0</v>
      </c>
      <c r="L85" s="757" t="str">
        <f t="shared" si="16"/>
        <v/>
      </c>
      <c r="M85" s="757" t="str">
        <f t="shared" si="17"/>
        <v/>
      </c>
      <c r="N85" s="757" t="str">
        <f t="shared" si="18"/>
        <v/>
      </c>
      <c r="O85" s="869" t="s">
        <v>1400</v>
      </c>
      <c r="P85" s="869"/>
      <c r="Q85" s="869"/>
      <c r="R85" s="869"/>
      <c r="S85" s="869"/>
      <c r="T85" s="756" t="s">
        <v>1529</v>
      </c>
      <c r="U85" s="756"/>
      <c r="V85" s="756"/>
      <c r="W85" s="756"/>
      <c r="X85" s="756"/>
      <c r="Y85" s="910"/>
      <c r="Z85" s="759"/>
      <c r="AA85" s="762"/>
      <c r="AB85" s="759"/>
      <c r="AC85" s="759"/>
      <c r="AD85" s="759"/>
    </row>
    <row r="86" spans="1:30" ht="27" customHeight="1">
      <c r="A86" s="758"/>
      <c r="B86" s="814">
        <v>69</v>
      </c>
      <c r="C86" s="756"/>
      <c r="D86" s="879"/>
      <c r="E86" s="756"/>
      <c r="F86" s="756"/>
      <c r="G86" s="756"/>
      <c r="H86" s="806"/>
      <c r="I86" s="913">
        <f t="shared" si="13"/>
        <v>0</v>
      </c>
      <c r="J86" s="913">
        <f t="shared" si="14"/>
        <v>0</v>
      </c>
      <c r="K86" s="913">
        <f t="shared" si="15"/>
        <v>0</v>
      </c>
      <c r="L86" s="757" t="str">
        <f t="shared" si="16"/>
        <v/>
      </c>
      <c r="M86" s="757" t="str">
        <f t="shared" si="17"/>
        <v/>
      </c>
      <c r="N86" s="757" t="str">
        <f t="shared" si="18"/>
        <v/>
      </c>
      <c r="O86" s="869" t="s">
        <v>1530</v>
      </c>
      <c r="P86" s="869"/>
      <c r="Q86" s="869"/>
      <c r="R86" s="869"/>
      <c r="S86" s="869"/>
      <c r="T86" s="756" t="s">
        <v>1531</v>
      </c>
      <c r="U86" s="756"/>
      <c r="V86" s="756"/>
      <c r="W86" s="756"/>
      <c r="X86" s="756"/>
      <c r="Y86" s="910"/>
      <c r="Z86" s="759"/>
      <c r="AA86" s="762"/>
      <c r="AB86" s="759"/>
      <c r="AC86" s="759"/>
      <c r="AD86" s="759"/>
    </row>
    <row r="87" spans="1:30" ht="36" customHeight="1">
      <c r="A87" s="758"/>
      <c r="B87" s="814">
        <v>70</v>
      </c>
      <c r="C87" s="756" t="s">
        <v>1532</v>
      </c>
      <c r="D87" s="879"/>
      <c r="E87" s="756"/>
      <c r="F87" s="756"/>
      <c r="G87" s="756"/>
      <c r="H87" s="806"/>
      <c r="I87" s="913">
        <f t="shared" si="13"/>
        <v>0</v>
      </c>
      <c r="J87" s="913">
        <f t="shared" si="14"/>
        <v>0</v>
      </c>
      <c r="K87" s="913">
        <f t="shared" si="15"/>
        <v>0</v>
      </c>
      <c r="L87" s="757" t="str">
        <f t="shared" si="16"/>
        <v/>
      </c>
      <c r="M87" s="757" t="str">
        <f t="shared" si="17"/>
        <v/>
      </c>
      <c r="N87" s="757" t="str">
        <f t="shared" si="18"/>
        <v/>
      </c>
      <c r="O87" s="869" t="s">
        <v>155</v>
      </c>
      <c r="P87" s="869"/>
      <c r="Q87" s="869"/>
      <c r="R87" s="869"/>
      <c r="S87" s="869"/>
      <c r="T87" s="756" t="s">
        <v>1533</v>
      </c>
      <c r="U87" s="756"/>
      <c r="V87" s="756"/>
      <c r="W87" s="756"/>
      <c r="X87" s="756"/>
      <c r="Y87" s="910"/>
      <c r="Z87" s="759"/>
      <c r="AA87" s="762"/>
      <c r="AB87" s="759"/>
      <c r="AC87" s="759"/>
      <c r="AD87" s="759"/>
    </row>
    <row r="88" spans="1:30" ht="18" customHeight="1">
      <c r="A88" s="758"/>
      <c r="B88" s="814">
        <v>71</v>
      </c>
      <c r="C88" s="756" t="s">
        <v>1534</v>
      </c>
      <c r="D88" s="879"/>
      <c r="E88" s="756"/>
      <c r="F88" s="756"/>
      <c r="G88" s="756"/>
      <c r="H88" s="806"/>
      <c r="I88" s="913">
        <f t="shared" si="13"/>
        <v>0</v>
      </c>
      <c r="J88" s="913">
        <f t="shared" si="14"/>
        <v>0</v>
      </c>
      <c r="K88" s="913">
        <f t="shared" si="15"/>
        <v>0</v>
      </c>
      <c r="L88" s="757" t="str">
        <f t="shared" si="16"/>
        <v/>
      </c>
      <c r="M88" s="757" t="str">
        <f t="shared" si="17"/>
        <v/>
      </c>
      <c r="N88" s="757" t="str">
        <f t="shared" si="18"/>
        <v/>
      </c>
      <c r="O88" s="869" t="s">
        <v>156</v>
      </c>
      <c r="P88" s="869"/>
      <c r="Q88" s="869"/>
      <c r="R88" s="869"/>
      <c r="S88" s="869"/>
      <c r="T88" s="756" t="s">
        <v>1535</v>
      </c>
      <c r="U88" s="756"/>
      <c r="V88" s="756"/>
      <c r="W88" s="756"/>
      <c r="X88" s="756"/>
      <c r="Y88" s="910"/>
      <c r="Z88" s="759"/>
      <c r="AA88" s="762"/>
      <c r="AB88" s="759"/>
      <c r="AC88" s="759"/>
      <c r="AD88" s="759"/>
    </row>
    <row r="89" spans="1:30" ht="18" customHeight="1">
      <c r="A89" s="758"/>
      <c r="B89" s="814">
        <v>72</v>
      </c>
      <c r="C89" s="756" t="s">
        <v>1536</v>
      </c>
      <c r="D89" s="879" t="s">
        <v>1532</v>
      </c>
      <c r="E89" s="756" t="s">
        <v>1532</v>
      </c>
      <c r="F89" s="756" t="s">
        <v>1497</v>
      </c>
      <c r="G89" s="756"/>
      <c r="H89" s="806"/>
      <c r="I89" s="913" t="str">
        <f t="shared" si="13"/>
        <v>12</v>
      </c>
      <c r="J89" s="913" t="str">
        <f t="shared" si="14"/>
        <v>Среднесписочная численность основного производственного персонала</v>
      </c>
      <c r="K89" s="913">
        <f t="shared" si="15"/>
        <v>0</v>
      </c>
      <c r="L89" s="757" t="str">
        <f t="shared" si="16"/>
        <v>12</v>
      </c>
      <c r="M89" s="757" t="str">
        <f t="shared" si="17"/>
        <v>Среднесписочная численность основного производственного персонала</v>
      </c>
      <c r="N89" s="757" t="str">
        <f t="shared" si="18"/>
        <v/>
      </c>
      <c r="O89" s="869" t="s">
        <v>157</v>
      </c>
      <c r="P89" s="869" t="s">
        <v>156</v>
      </c>
      <c r="Q89" s="869" t="s">
        <v>156</v>
      </c>
      <c r="R89" s="869" t="s">
        <v>154</v>
      </c>
      <c r="S89" s="869"/>
      <c r="T89" s="756" t="s">
        <v>1537</v>
      </c>
      <c r="U89" s="756" t="s">
        <v>1537</v>
      </c>
      <c r="V89" s="756" t="s">
        <v>1537</v>
      </c>
      <c r="W89" s="756" t="s">
        <v>1537</v>
      </c>
      <c r="X89" s="756"/>
      <c r="Y89" s="910"/>
      <c r="Z89" s="759"/>
      <c r="AA89" s="762"/>
      <c r="AB89" s="759"/>
      <c r="AC89" s="759"/>
      <c r="AD89" s="759"/>
    </row>
    <row r="90" spans="1:30" ht="27" customHeight="1">
      <c r="A90" s="758"/>
      <c r="B90" s="814">
        <v>73</v>
      </c>
      <c r="C90" s="756" t="s">
        <v>1538</v>
      </c>
      <c r="D90" s="879"/>
      <c r="E90" s="756"/>
      <c r="F90" s="756"/>
      <c r="G90" s="756"/>
      <c r="H90" s="806"/>
      <c r="I90" s="913">
        <f t="shared" si="13"/>
        <v>0</v>
      </c>
      <c r="J90" s="913">
        <f t="shared" si="14"/>
        <v>0</v>
      </c>
      <c r="K90" s="913">
        <f t="shared" si="15"/>
        <v>0</v>
      </c>
      <c r="L90" s="757" t="str">
        <f t="shared" si="16"/>
        <v/>
      </c>
      <c r="M90" s="757" t="str">
        <f t="shared" si="17"/>
        <v/>
      </c>
      <c r="N90" s="757" t="str">
        <f t="shared" si="18"/>
        <v/>
      </c>
      <c r="O90" s="869" t="s">
        <v>158</v>
      </c>
      <c r="P90" s="869"/>
      <c r="Q90" s="869"/>
      <c r="R90" s="869"/>
      <c r="S90" s="869"/>
      <c r="T90" s="756" t="s">
        <v>1539</v>
      </c>
      <c r="U90" s="756"/>
      <c r="V90" s="756"/>
      <c r="W90" s="756"/>
      <c r="X90" s="756"/>
      <c r="Y90" s="910"/>
      <c r="Z90" s="759"/>
      <c r="AA90" s="762"/>
      <c r="AB90" s="759"/>
      <c r="AC90" s="759"/>
      <c r="AD90" s="759"/>
    </row>
    <row r="91" spans="1:30" ht="18" customHeight="1">
      <c r="A91" s="758"/>
      <c r="B91" s="814">
        <v>74</v>
      </c>
      <c r="C91" s="756"/>
      <c r="D91" s="879" t="s">
        <v>1534</v>
      </c>
      <c r="E91" s="756" t="s">
        <v>1534</v>
      </c>
      <c r="F91" s="756"/>
      <c r="G91" s="756"/>
      <c r="H91" s="806"/>
      <c r="I91" s="913" t="str">
        <f t="shared" si="13"/>
        <v>13</v>
      </c>
      <c r="J91" s="913" t="str">
        <f t="shared" si="14"/>
        <v>Удельный расход электрической энергии на подачу воды в сеть</v>
      </c>
      <c r="K91" s="913">
        <f t="shared" si="15"/>
        <v>0</v>
      </c>
      <c r="L91" s="757" t="str">
        <f t="shared" si="16"/>
        <v>13</v>
      </c>
      <c r="M91" s="757" t="str">
        <f t="shared" si="17"/>
        <v>Удельный расход электрической энергии на подачу воды в сеть</v>
      </c>
      <c r="N91" s="757" t="str">
        <f t="shared" si="18"/>
        <v/>
      </c>
      <c r="O91" s="869"/>
      <c r="P91" s="869" t="s">
        <v>157</v>
      </c>
      <c r="Q91" s="869" t="s">
        <v>157</v>
      </c>
      <c r="R91" s="869"/>
      <c r="S91" s="869"/>
      <c r="T91" s="756"/>
      <c r="U91" s="756" t="s">
        <v>1540</v>
      </c>
      <c r="V91" s="756" t="s">
        <v>1540</v>
      </c>
      <c r="W91" s="756"/>
      <c r="X91" s="756"/>
      <c r="Y91" s="910"/>
      <c r="Z91" s="759"/>
      <c r="AA91" s="762"/>
      <c r="AB91" s="759"/>
      <c r="AC91" s="759"/>
      <c r="AD91" s="759"/>
    </row>
    <row r="92" spans="1:30" ht="27" customHeight="1">
      <c r="A92" s="758"/>
      <c r="B92" s="814">
        <v>75</v>
      </c>
      <c r="C92" s="756"/>
      <c r="D92" s="879" t="s">
        <v>1536</v>
      </c>
      <c r="E92" s="756"/>
      <c r="F92" s="756"/>
      <c r="G92" s="756"/>
      <c r="H92" s="806"/>
      <c r="I92" s="913" t="str">
        <f t="shared" si="13"/>
        <v>14</v>
      </c>
      <c r="J92" s="913" t="str">
        <f t="shared" si="14"/>
        <v>Расход воды на собственные нужды, в том числе:</v>
      </c>
      <c r="K92" s="913" t="str">
        <f t="shared" si="15"/>
        <v>Указывается доля общего расхода воды на собственные нужны от объема отпуска воды потребителям.</v>
      </c>
      <c r="L92" s="757" t="str">
        <f t="shared" si="16"/>
        <v>14</v>
      </c>
      <c r="M92" s="757" t="str">
        <f t="shared" si="17"/>
        <v>Расход воды на собственные нужды, в том числе:</v>
      </c>
      <c r="N92" s="757" t="str">
        <f t="shared" si="18"/>
        <v>Указывается доля общего расхода воды на собственные нужны от объема отпуска воды потребителям.</v>
      </c>
      <c r="O92" s="869"/>
      <c r="P92" s="869" t="s">
        <v>158</v>
      </c>
      <c r="Q92" s="869"/>
      <c r="R92" s="869"/>
      <c r="S92" s="869"/>
      <c r="T92" s="756"/>
      <c r="U92" s="756" t="s">
        <v>1541</v>
      </c>
      <c r="V92" s="756"/>
      <c r="W92" s="756"/>
      <c r="X92" s="756"/>
      <c r="Y92" s="910"/>
      <c r="Z92" s="759"/>
      <c r="AA92" s="762" t="s">
        <v>1542</v>
      </c>
      <c r="AB92" s="759"/>
      <c r="AC92" s="759"/>
      <c r="AD92" s="759"/>
    </row>
    <row r="93" spans="1:30" ht="27" customHeight="1">
      <c r="A93" s="758"/>
      <c r="B93" s="814">
        <v>76</v>
      </c>
      <c r="C93" s="756"/>
      <c r="D93" s="879"/>
      <c r="E93" s="756"/>
      <c r="F93" s="756"/>
      <c r="G93" s="756"/>
      <c r="H93" s="806"/>
      <c r="I93" s="913" t="str">
        <f t="shared" si="13"/>
        <v>14.1</v>
      </c>
      <c r="J93" s="913" t="str">
        <f t="shared" si="14"/>
        <v>Расход воды на хозяйственно-бытовые нужды</v>
      </c>
      <c r="K93" s="913" t="str">
        <f t="shared" si="15"/>
        <v>Указывается доля расхода воды на хозяйственно-бытовые нужны от объема отпуска воды потребителям.</v>
      </c>
      <c r="L93" s="757" t="str">
        <f t="shared" si="16"/>
        <v>14.1</v>
      </c>
      <c r="M93" s="757" t="str">
        <f t="shared" si="17"/>
        <v>Расход воды на хозяйственно-бытовые нужды</v>
      </c>
      <c r="N93" s="757" t="str">
        <f t="shared" si="18"/>
        <v>Указывается доля расхода воды на хозяйственно-бытовые нужны от объема отпуска воды потребителям.</v>
      </c>
      <c r="O93" s="869"/>
      <c r="P93" s="869" t="s">
        <v>1430</v>
      </c>
      <c r="Q93" s="869"/>
      <c r="R93" s="869"/>
      <c r="S93" s="869"/>
      <c r="T93" s="756"/>
      <c r="U93" s="756" t="s">
        <v>1543</v>
      </c>
      <c r="V93" s="756"/>
      <c r="W93" s="756"/>
      <c r="X93" s="756"/>
      <c r="Y93" s="910"/>
      <c r="Z93" s="759"/>
      <c r="AA93" s="762" t="s">
        <v>1544</v>
      </c>
      <c r="AB93" s="759"/>
      <c r="AC93" s="759"/>
      <c r="AD93" s="759"/>
    </row>
    <row r="94" spans="1:30" ht="45" customHeight="1">
      <c r="A94" s="758"/>
      <c r="B94" s="814">
        <v>77</v>
      </c>
      <c r="C94" s="756"/>
      <c r="D94" s="879" t="s">
        <v>1538</v>
      </c>
      <c r="E94" s="756"/>
      <c r="F94" s="756"/>
      <c r="G94" s="756"/>
      <c r="H94" s="806"/>
      <c r="I94" s="913" t="str">
        <f t="shared" si="13"/>
        <v>15</v>
      </c>
      <c r="J94" s="913" t="str">
        <f t="shared" si="14"/>
        <v>Показатель использования производственных объектов (по объему перекачки), в том числе:</v>
      </c>
      <c r="K94" s="913" t="str">
        <f t="shared" si="15"/>
        <v>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v>
      </c>
      <c r="L94" s="757" t="str">
        <f t="shared" si="16"/>
        <v>15</v>
      </c>
      <c r="M94" s="757" t="str">
        <f t="shared" si="17"/>
        <v>Показатель использования производственных объектов (по объему перекачки), в том числе:</v>
      </c>
      <c r="N94" s="757" t="str">
        <f t="shared" si="18"/>
        <v>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v>
      </c>
      <c r="O94" s="869"/>
      <c r="P94" s="869" t="s">
        <v>855</v>
      </c>
      <c r="Q94" s="869"/>
      <c r="R94" s="869"/>
      <c r="S94" s="869"/>
      <c r="T94" s="756"/>
      <c r="U94" s="756" t="s">
        <v>1545</v>
      </c>
      <c r="V94" s="756"/>
      <c r="W94" s="756"/>
      <c r="X94" s="756"/>
      <c r="Y94" s="910"/>
      <c r="Z94" s="759"/>
      <c r="AA94" s="762" t="s">
        <v>1546</v>
      </c>
      <c r="AB94" s="759"/>
      <c r="AC94" s="759"/>
      <c r="AD94" s="759"/>
    </row>
    <row r="95" spans="1:30" ht="99" customHeight="1">
      <c r="A95" s="758"/>
      <c r="B95" s="814">
        <v>78</v>
      </c>
      <c r="C95" s="756" t="s">
        <v>1547</v>
      </c>
      <c r="D95" s="879"/>
      <c r="E95" s="756"/>
      <c r="F95" s="756"/>
      <c r="G95" s="756"/>
      <c r="H95" s="806"/>
      <c r="I95" s="913">
        <f t="shared" si="13"/>
        <v>0</v>
      </c>
      <c r="J95" s="913">
        <f t="shared" si="14"/>
        <v>0</v>
      </c>
      <c r="K95" s="913">
        <f t="shared" si="15"/>
        <v>0</v>
      </c>
      <c r="L95" s="757" t="str">
        <f t="shared" si="16"/>
        <v/>
      </c>
      <c r="M95" s="757" t="str">
        <f t="shared" si="17"/>
        <v/>
      </c>
      <c r="N95" s="757" t="str">
        <f t="shared" si="18"/>
        <v/>
      </c>
      <c r="O95" s="869" t="s">
        <v>855</v>
      </c>
      <c r="P95" s="869"/>
      <c r="Q95" s="869"/>
      <c r="R95" s="869"/>
      <c r="S95" s="869"/>
      <c r="T95" s="756" t="s">
        <v>1548</v>
      </c>
      <c r="U95" s="756"/>
      <c r="V95" s="756"/>
      <c r="W95" s="756"/>
      <c r="X95" s="756"/>
      <c r="Y95" s="910"/>
      <c r="Z95" s="759"/>
      <c r="AA95" s="762"/>
      <c r="AB95" s="759"/>
      <c r="AC95" s="759"/>
      <c r="AD95" s="759"/>
    </row>
    <row r="96" spans="1:30" ht="99" customHeight="1">
      <c r="A96" s="758"/>
      <c r="B96" s="814">
        <v>79</v>
      </c>
      <c r="C96" s="756" t="s">
        <v>1549</v>
      </c>
      <c r="D96" s="879"/>
      <c r="E96" s="756"/>
      <c r="F96" s="756"/>
      <c r="G96" s="756"/>
      <c r="H96" s="806"/>
      <c r="I96" s="913">
        <f t="shared" si="13"/>
        <v>0</v>
      </c>
      <c r="J96" s="913">
        <f t="shared" si="14"/>
        <v>0</v>
      </c>
      <c r="K96" s="913">
        <f t="shared" si="15"/>
        <v>0</v>
      </c>
      <c r="L96" s="757" t="str">
        <f t="shared" si="16"/>
        <v/>
      </c>
      <c r="M96" s="757" t="str">
        <f t="shared" si="17"/>
        <v/>
      </c>
      <c r="N96" s="757" t="str">
        <f t="shared" si="18"/>
        <v/>
      </c>
      <c r="O96" s="869" t="s">
        <v>861</v>
      </c>
      <c r="P96" s="869"/>
      <c r="Q96" s="869"/>
      <c r="R96" s="869"/>
      <c r="S96" s="869"/>
      <c r="T96" s="756" t="s">
        <v>1550</v>
      </c>
      <c r="U96" s="756"/>
      <c r="V96" s="756"/>
      <c r="W96" s="756"/>
      <c r="X96" s="756"/>
      <c r="Y96" s="910"/>
      <c r="Z96" s="759" t="s">
        <v>1551</v>
      </c>
      <c r="AA96" s="762"/>
      <c r="AB96" s="759"/>
      <c r="AC96" s="759"/>
      <c r="AD96" s="759"/>
    </row>
    <row r="97" spans="1:30" ht="63" customHeight="1">
      <c r="A97" s="758"/>
      <c r="B97" s="814">
        <v>80</v>
      </c>
      <c r="C97" s="756" t="s">
        <v>1552</v>
      </c>
      <c r="D97" s="879"/>
      <c r="E97" s="756"/>
      <c r="F97" s="756"/>
      <c r="G97" s="756"/>
      <c r="H97" s="806"/>
      <c r="I97" s="913">
        <f t="shared" si="13"/>
        <v>0</v>
      </c>
      <c r="J97" s="913">
        <f t="shared" si="14"/>
        <v>0</v>
      </c>
      <c r="K97" s="913">
        <f t="shared" si="15"/>
        <v>0</v>
      </c>
      <c r="L97" s="757" t="str">
        <f t="shared" si="16"/>
        <v/>
      </c>
      <c r="M97" s="757" t="str">
        <f t="shared" si="17"/>
        <v/>
      </c>
      <c r="N97" s="757" t="str">
        <f t="shared" si="18"/>
        <v/>
      </c>
      <c r="O97" s="869" t="s">
        <v>872</v>
      </c>
      <c r="P97" s="869"/>
      <c r="Q97" s="869"/>
      <c r="R97" s="869"/>
      <c r="S97" s="869"/>
      <c r="T97" s="756" t="s">
        <v>1553</v>
      </c>
      <c r="U97" s="756"/>
      <c r="V97" s="756"/>
      <c r="W97" s="756"/>
      <c r="X97" s="756"/>
      <c r="Y97" s="910"/>
      <c r="Z97" s="759" t="s">
        <v>1554</v>
      </c>
      <c r="AA97" s="762"/>
      <c r="AB97" s="759"/>
      <c r="AC97" s="759"/>
      <c r="AD97" s="759"/>
    </row>
    <row r="98" spans="1:30" ht="63" customHeight="1">
      <c r="A98" s="758"/>
      <c r="B98" s="814">
        <v>81</v>
      </c>
      <c r="C98" s="756" t="s">
        <v>1555</v>
      </c>
      <c r="D98" s="879"/>
      <c r="E98" s="756"/>
      <c r="F98" s="756"/>
      <c r="G98" s="756"/>
      <c r="H98" s="806"/>
      <c r="I98" s="913">
        <f t="shared" si="13"/>
        <v>0</v>
      </c>
      <c r="J98" s="913">
        <f t="shared" si="14"/>
        <v>0</v>
      </c>
      <c r="K98" s="913">
        <f t="shared" si="15"/>
        <v>0</v>
      </c>
      <c r="L98" s="757" t="str">
        <f t="shared" si="16"/>
        <v/>
      </c>
      <c r="M98" s="757" t="str">
        <f t="shared" si="17"/>
        <v/>
      </c>
      <c r="N98" s="757" t="str">
        <f t="shared" si="18"/>
        <v/>
      </c>
      <c r="O98" s="869" t="s">
        <v>886</v>
      </c>
      <c r="P98" s="869"/>
      <c r="Q98" s="869"/>
      <c r="R98" s="869"/>
      <c r="S98" s="869"/>
      <c r="T98" s="756" t="s">
        <v>1556</v>
      </c>
      <c r="U98" s="756"/>
      <c r="V98" s="756"/>
      <c r="W98" s="756"/>
      <c r="X98" s="756"/>
      <c r="Y98" s="910"/>
      <c r="Z98" s="759" t="s">
        <v>1554</v>
      </c>
      <c r="AA98" s="762"/>
      <c r="AB98" s="759"/>
      <c r="AC98" s="759"/>
      <c r="AD98" s="759"/>
    </row>
    <row r="99" spans="1:30" ht="90" customHeight="1">
      <c r="A99" s="758"/>
      <c r="B99" s="814">
        <v>82</v>
      </c>
      <c r="C99" s="756" t="s">
        <v>1557</v>
      </c>
      <c r="D99" s="879"/>
      <c r="E99" s="756"/>
      <c r="F99" s="756"/>
      <c r="G99" s="756"/>
      <c r="H99" s="806"/>
      <c r="I99" s="913">
        <f t="shared" si="13"/>
        <v>0</v>
      </c>
      <c r="J99" s="913">
        <f t="shared" si="14"/>
        <v>0</v>
      </c>
      <c r="K99" s="913">
        <f t="shared" si="15"/>
        <v>0</v>
      </c>
      <c r="L99" s="757" t="str">
        <f t="shared" si="16"/>
        <v/>
      </c>
      <c r="M99" s="757" t="str">
        <f t="shared" si="17"/>
        <v/>
      </c>
      <c r="N99" s="757" t="str">
        <f t="shared" si="18"/>
        <v/>
      </c>
      <c r="O99" s="869" t="s">
        <v>898</v>
      </c>
      <c r="P99" s="869"/>
      <c r="Q99" s="869"/>
      <c r="R99" s="869"/>
      <c r="S99" s="869"/>
      <c r="T99" s="756" t="s">
        <v>1558</v>
      </c>
      <c r="U99" s="756"/>
      <c r="V99" s="756"/>
      <c r="W99" s="756"/>
      <c r="X99" s="756"/>
      <c r="Y99" s="910"/>
      <c r="Z99" s="759" t="s">
        <v>1559</v>
      </c>
      <c r="AA99" s="762"/>
      <c r="AB99" s="759"/>
      <c r="AC99" s="759"/>
      <c r="AD99" s="759"/>
    </row>
    <row r="100" spans="1:30" ht="27" customHeight="1">
      <c r="A100" s="758"/>
      <c r="B100" s="814">
        <v>83</v>
      </c>
      <c r="C100" s="756"/>
      <c r="D100" s="879"/>
      <c r="E100" s="756"/>
      <c r="F100" s="756"/>
      <c r="G100" s="756"/>
      <c r="H100" s="806"/>
      <c r="I100" s="913">
        <f t="shared" si="13"/>
        <v>0</v>
      </c>
      <c r="J100" s="913">
        <f t="shared" si="14"/>
        <v>0</v>
      </c>
      <c r="K100" s="913">
        <f t="shared" si="15"/>
        <v>0</v>
      </c>
      <c r="L100" s="757" t="str">
        <f t="shared" si="16"/>
        <v/>
      </c>
      <c r="M100" s="757" t="str">
        <f t="shared" si="17"/>
        <v/>
      </c>
      <c r="N100" s="757" t="str">
        <f t="shared" si="18"/>
        <v/>
      </c>
      <c r="O100" s="869" t="s">
        <v>1560</v>
      </c>
      <c r="P100" s="869"/>
      <c r="Q100" s="869"/>
      <c r="R100" s="869"/>
      <c r="S100" s="869"/>
      <c r="T100" s="756" t="s">
        <v>1561</v>
      </c>
      <c r="U100" s="756"/>
      <c r="V100" s="756"/>
      <c r="W100" s="756"/>
      <c r="X100" s="756"/>
      <c r="Y100" s="910"/>
      <c r="Z100" s="759" t="s">
        <v>1559</v>
      </c>
      <c r="AA100" s="762"/>
      <c r="AB100" s="759"/>
      <c r="AC100" s="759"/>
      <c r="AD100" s="759"/>
    </row>
    <row r="101" spans="1:30" ht="27" customHeight="1">
      <c r="A101" s="758"/>
      <c r="B101" s="814">
        <v>84</v>
      </c>
      <c r="C101" s="756"/>
      <c r="D101" s="879"/>
      <c r="E101" s="756"/>
      <c r="F101" s="756"/>
      <c r="G101" s="756"/>
      <c r="H101" s="806"/>
      <c r="I101" s="913">
        <f t="shared" si="13"/>
        <v>0</v>
      </c>
      <c r="J101" s="913">
        <f t="shared" si="14"/>
        <v>0</v>
      </c>
      <c r="K101" s="913">
        <f t="shared" si="15"/>
        <v>0</v>
      </c>
      <c r="L101" s="757" t="str">
        <f t="shared" si="16"/>
        <v/>
      </c>
      <c r="M101" s="757" t="str">
        <f t="shared" si="17"/>
        <v/>
      </c>
      <c r="N101" s="757" t="str">
        <f t="shared" si="18"/>
        <v/>
      </c>
      <c r="O101" s="869" t="s">
        <v>1562</v>
      </c>
      <c r="P101" s="869"/>
      <c r="Q101" s="869"/>
      <c r="R101" s="869"/>
      <c r="S101" s="869"/>
      <c r="T101" s="756" t="s">
        <v>1563</v>
      </c>
      <c r="U101" s="756"/>
      <c r="V101" s="756"/>
      <c r="W101" s="756"/>
      <c r="X101" s="756"/>
      <c r="Y101" s="910"/>
      <c r="Z101" s="759" t="s">
        <v>1559</v>
      </c>
      <c r="AA101" s="762"/>
      <c r="AB101" s="759"/>
      <c r="AC101" s="759"/>
      <c r="AD101" s="759"/>
    </row>
    <row r="102" spans="1:30" ht="9" customHeight="1">
      <c r="A102" s="758"/>
      <c r="B102" s="758"/>
      <c r="C102" s="756"/>
      <c r="D102" s="756"/>
      <c r="E102" s="756"/>
      <c r="F102" s="756"/>
      <c r="G102" s="756"/>
      <c r="H102" s="806"/>
      <c r="I102" s="806"/>
      <c r="J102" s="806"/>
      <c r="K102" s="806"/>
      <c r="L102" s="806"/>
      <c r="M102" s="756"/>
      <c r="N102" s="805"/>
      <c r="O102" s="869"/>
      <c r="P102" s="869"/>
      <c r="Q102" s="869"/>
      <c r="R102" s="869"/>
      <c r="S102" s="756"/>
      <c r="T102" s="756"/>
      <c r="U102" s="756"/>
      <c r="V102" s="756"/>
      <c r="W102" s="756"/>
      <c r="X102" s="756"/>
      <c r="Y102" s="910"/>
      <c r="Z102" s="759"/>
      <c r="AA102" s="762"/>
      <c r="AB102" s="759"/>
      <c r="AC102" s="759"/>
      <c r="AD102" s="759"/>
    </row>
    <row r="103" spans="1:30" ht="9" customHeight="1">
      <c r="A103" s="758"/>
      <c r="B103" s="758"/>
      <c r="C103" s="756"/>
      <c r="D103" s="756"/>
      <c r="E103" s="756"/>
      <c r="F103" s="756"/>
      <c r="G103" s="756"/>
      <c r="H103" s="806"/>
      <c r="I103" s="806"/>
      <c r="J103" s="806"/>
      <c r="K103" s="806"/>
      <c r="L103" s="806"/>
      <c r="M103" s="756"/>
      <c r="N103" s="805"/>
      <c r="O103" s="869"/>
      <c r="P103" s="869"/>
      <c r="Q103" s="869"/>
      <c r="R103" s="869"/>
      <c r="S103" s="756"/>
      <c r="T103" s="756"/>
      <c r="U103" s="756"/>
      <c r="V103" s="756"/>
      <c r="W103" s="756"/>
      <c r="X103" s="756"/>
      <c r="Y103" s="910"/>
      <c r="Z103" s="759"/>
      <c r="AA103" s="762"/>
      <c r="AB103" s="759"/>
      <c r="AC103" s="759"/>
      <c r="AD103" s="759"/>
    </row>
    <row r="104" spans="1:30" ht="9" customHeight="1">
      <c r="A104" s="758"/>
      <c r="B104" s="758"/>
      <c r="C104" s="756"/>
      <c r="D104" s="756"/>
      <c r="E104" s="756"/>
      <c r="F104" s="756"/>
      <c r="G104" s="756"/>
      <c r="H104" s="806"/>
      <c r="I104" s="806"/>
      <c r="J104" s="806"/>
      <c r="K104" s="806"/>
      <c r="L104" s="806"/>
      <c r="M104" s="756"/>
      <c r="N104" s="805"/>
      <c r="O104" s="869"/>
      <c r="P104" s="869"/>
      <c r="Q104" s="869"/>
      <c r="R104" s="869"/>
      <c r="S104" s="756"/>
      <c r="T104" s="756"/>
      <c r="U104" s="756"/>
      <c r="V104" s="756"/>
      <c r="W104" s="756"/>
      <c r="X104" s="756"/>
      <c r="Y104" s="910"/>
      <c r="Z104" s="759"/>
      <c r="AA104" s="762"/>
      <c r="AB104" s="759"/>
      <c r="AC104" s="759"/>
      <c r="AD104" s="759"/>
    </row>
    <row r="105" spans="1:30" ht="9" customHeight="1">
      <c r="A105" s="758"/>
      <c r="B105" s="758"/>
      <c r="C105" s="756"/>
      <c r="D105" s="756"/>
      <c r="E105" s="756"/>
      <c r="F105" s="756"/>
      <c r="G105" s="756"/>
      <c r="H105" s="806"/>
      <c r="I105" s="806"/>
      <c r="J105" s="806"/>
      <c r="K105" s="806"/>
      <c r="L105" s="806"/>
      <c r="M105" s="756"/>
      <c r="N105" s="805"/>
      <c r="O105" s="869"/>
      <c r="P105" s="869"/>
      <c r="Q105" s="869"/>
      <c r="R105" s="869"/>
      <c r="S105" s="756"/>
      <c r="T105" s="756"/>
      <c r="U105" s="756"/>
      <c r="V105" s="756"/>
      <c r="W105" s="756"/>
      <c r="X105" s="756"/>
      <c r="Y105" s="910"/>
      <c r="Z105" s="759"/>
      <c r="AA105" s="762"/>
      <c r="AB105" s="759"/>
      <c r="AC105" s="759"/>
      <c r="AD105" s="759"/>
    </row>
    <row r="106" spans="1:30" ht="9" customHeight="1">
      <c r="A106" s="758"/>
      <c r="B106" s="758"/>
      <c r="C106" s="756"/>
      <c r="D106" s="756"/>
      <c r="E106" s="756"/>
      <c r="F106" s="756"/>
      <c r="G106" s="756"/>
      <c r="H106" s="806"/>
      <c r="I106" s="806"/>
      <c r="J106" s="806"/>
      <c r="K106" s="806"/>
      <c r="L106" s="806"/>
      <c r="M106" s="756"/>
      <c r="N106" s="805"/>
      <c r="O106" s="869"/>
      <c r="P106" s="869"/>
      <c r="Q106" s="869"/>
      <c r="R106" s="869"/>
      <c r="S106" s="756"/>
      <c r="T106" s="756"/>
      <c r="U106" s="756"/>
      <c r="V106" s="756"/>
      <c r="W106" s="756"/>
      <c r="X106" s="756"/>
      <c r="Y106" s="910"/>
      <c r="Z106" s="759"/>
      <c r="AA106" s="762"/>
      <c r="AB106" s="759"/>
      <c r="AC106" s="759"/>
      <c r="AD106" s="759"/>
    </row>
    <row r="107" spans="1:30" ht="9" customHeight="1">
      <c r="A107" s="758"/>
      <c r="B107" s="758"/>
      <c r="C107" s="756"/>
      <c r="D107" s="756"/>
      <c r="E107" s="756"/>
      <c r="F107" s="756"/>
      <c r="G107" s="756"/>
      <c r="H107" s="806"/>
      <c r="I107" s="806"/>
      <c r="J107" s="806"/>
      <c r="K107" s="806"/>
      <c r="L107" s="806"/>
      <c r="M107" s="756"/>
      <c r="N107" s="805"/>
      <c r="O107" s="869"/>
      <c r="P107" s="869"/>
      <c r="Q107" s="869"/>
      <c r="R107" s="869"/>
      <c r="S107" s="756"/>
      <c r="T107" s="756"/>
      <c r="U107" s="756"/>
      <c r="V107" s="756"/>
      <c r="W107" s="756"/>
      <c r="X107" s="756"/>
      <c r="Y107" s="910"/>
      <c r="Z107" s="759"/>
      <c r="AA107" s="762"/>
      <c r="AB107" s="759"/>
      <c r="AC107" s="759"/>
      <c r="AD107" s="759"/>
    </row>
    <row r="108" spans="1:30" ht="9" customHeight="1">
      <c r="A108" s="758"/>
      <c r="B108" s="758"/>
      <c r="C108" s="756"/>
      <c r="D108" s="756"/>
      <c r="E108" s="756"/>
      <c r="F108" s="756"/>
      <c r="G108" s="756"/>
      <c r="H108" s="806"/>
      <c r="I108" s="806"/>
      <c r="J108" s="806"/>
      <c r="K108" s="806"/>
      <c r="L108" s="806"/>
      <c r="M108" s="756"/>
      <c r="N108" s="805"/>
      <c r="O108" s="869"/>
      <c r="P108" s="869"/>
      <c r="Q108" s="869"/>
      <c r="R108" s="869"/>
      <c r="S108" s="756"/>
      <c r="T108" s="756"/>
      <c r="U108" s="756"/>
      <c r="V108" s="756"/>
      <c r="W108" s="756"/>
      <c r="X108" s="756"/>
      <c r="Y108" s="910"/>
      <c r="Z108" s="759"/>
      <c r="AA108" s="762"/>
      <c r="AB108" s="759"/>
      <c r="AC108" s="759"/>
      <c r="AD108" s="759"/>
    </row>
    <row r="109" spans="1:30" ht="9" customHeight="1">
      <c r="A109" s="758"/>
      <c r="B109" s="758"/>
      <c r="C109" s="756"/>
      <c r="D109" s="756"/>
      <c r="E109" s="756"/>
      <c r="F109" s="756"/>
      <c r="G109" s="756"/>
      <c r="H109" s="806"/>
      <c r="I109" s="806"/>
      <c r="J109" s="806"/>
      <c r="K109" s="806"/>
      <c r="L109" s="806"/>
      <c r="M109" s="756"/>
      <c r="N109" s="805"/>
      <c r="O109" s="869"/>
      <c r="P109" s="869"/>
      <c r="Q109" s="869"/>
      <c r="R109" s="869"/>
      <c r="S109" s="756"/>
      <c r="T109" s="756"/>
      <c r="U109" s="756"/>
      <c r="V109" s="756"/>
      <c r="W109" s="756"/>
      <c r="X109" s="756"/>
      <c r="Y109" s="910"/>
      <c r="Z109" s="759"/>
      <c r="AA109" s="762"/>
      <c r="AB109" s="759"/>
      <c r="AC109" s="759"/>
      <c r="AD109" s="759"/>
    </row>
    <row r="110" spans="1:30" ht="9" customHeight="1">
      <c r="A110" s="758"/>
      <c r="B110" s="758"/>
      <c r="C110" s="756"/>
      <c r="D110" s="756"/>
      <c r="E110" s="756"/>
      <c r="F110" s="756"/>
      <c r="G110" s="756"/>
      <c r="H110" s="806"/>
      <c r="I110" s="806"/>
      <c r="J110" s="806"/>
      <c r="K110" s="806"/>
      <c r="L110" s="806"/>
      <c r="M110" s="756"/>
      <c r="N110" s="805"/>
      <c r="O110" s="869"/>
      <c r="P110" s="869"/>
      <c r="Q110" s="869"/>
      <c r="R110" s="869"/>
      <c r="S110" s="756"/>
      <c r="T110" s="756"/>
      <c r="U110" s="756"/>
      <c r="V110" s="756"/>
      <c r="W110" s="756"/>
      <c r="X110" s="756"/>
      <c r="Y110" s="910"/>
      <c r="Z110" s="759"/>
      <c r="AA110" s="762"/>
      <c r="AB110" s="759"/>
      <c r="AC110" s="759"/>
      <c r="AD110" s="759"/>
    </row>
    <row r="111" spans="1:30" ht="9" customHeight="1">
      <c r="A111" s="758"/>
      <c r="B111" s="758"/>
      <c r="C111" s="756"/>
      <c r="D111" s="756"/>
      <c r="E111" s="756"/>
      <c r="F111" s="756"/>
      <c r="G111" s="756"/>
      <c r="H111" s="806"/>
      <c r="I111" s="806"/>
      <c r="J111" s="806"/>
      <c r="K111" s="806"/>
      <c r="L111" s="806"/>
      <c r="M111" s="756"/>
      <c r="N111" s="805"/>
      <c r="O111" s="869"/>
      <c r="P111" s="869"/>
      <c r="Q111" s="869"/>
      <c r="R111" s="869"/>
      <c r="S111" s="756"/>
      <c r="T111" s="756"/>
      <c r="U111" s="756"/>
      <c r="V111" s="756"/>
      <c r="W111" s="756"/>
      <c r="X111" s="756"/>
      <c r="Y111" s="910"/>
      <c r="Z111" s="759"/>
      <c r="AA111" s="762"/>
      <c r="AB111" s="759"/>
      <c r="AC111" s="759"/>
      <c r="AD111" s="759"/>
    </row>
    <row r="112" spans="1:30" ht="9" customHeight="1">
      <c r="A112" s="758"/>
      <c r="B112" s="758"/>
      <c r="C112" s="756"/>
      <c r="D112" s="756"/>
      <c r="E112" s="756"/>
      <c r="F112" s="756"/>
      <c r="G112" s="756"/>
      <c r="H112" s="806"/>
      <c r="I112" s="806"/>
      <c r="J112" s="806"/>
      <c r="K112" s="806"/>
      <c r="L112" s="806"/>
      <c r="M112" s="756"/>
      <c r="N112" s="805"/>
      <c r="O112" s="869"/>
      <c r="P112" s="869"/>
      <c r="Q112" s="869"/>
      <c r="R112" s="869"/>
      <c r="S112" s="756"/>
      <c r="T112" s="756"/>
      <c r="U112" s="756"/>
      <c r="V112" s="756"/>
      <c r="W112" s="756"/>
      <c r="X112" s="756"/>
      <c r="Y112" s="910"/>
      <c r="Z112" s="759"/>
      <c r="AA112" s="762"/>
      <c r="AB112" s="759"/>
      <c r="AC112" s="759"/>
      <c r="AD112" s="759"/>
    </row>
    <row r="113" spans="1:30" ht="9" customHeight="1">
      <c r="A113" s="758"/>
      <c r="B113" s="758"/>
      <c r="C113" s="756"/>
      <c r="D113" s="756"/>
      <c r="E113" s="756"/>
      <c r="F113" s="756"/>
      <c r="G113" s="756"/>
      <c r="H113" s="806"/>
      <c r="I113" s="806"/>
      <c r="J113" s="806"/>
      <c r="K113" s="806"/>
      <c r="L113" s="806"/>
      <c r="M113" s="756"/>
      <c r="N113" s="805"/>
      <c r="O113" s="869"/>
      <c r="P113" s="869"/>
      <c r="Q113" s="869"/>
      <c r="R113" s="869"/>
      <c r="S113" s="756"/>
      <c r="T113" s="756"/>
      <c r="U113" s="756"/>
      <c r="V113" s="756"/>
      <c r="W113" s="756"/>
      <c r="X113" s="756"/>
      <c r="Y113" s="910"/>
      <c r="Z113" s="759"/>
      <c r="AA113" s="762"/>
      <c r="AB113" s="759"/>
      <c r="AC113" s="759"/>
      <c r="AD113" s="759"/>
    </row>
    <row r="114" spans="1:30" ht="9" customHeight="1">
      <c r="A114" s="758"/>
      <c r="B114" s="758"/>
      <c r="C114" s="756"/>
      <c r="D114" s="756"/>
      <c r="E114" s="756"/>
      <c r="F114" s="756"/>
      <c r="G114" s="756"/>
      <c r="H114" s="806"/>
      <c r="I114" s="806"/>
      <c r="J114" s="806"/>
      <c r="K114" s="806"/>
      <c r="L114" s="806"/>
      <c r="M114" s="756"/>
      <c r="N114" s="805"/>
      <c r="O114" s="869"/>
      <c r="P114" s="869"/>
      <c r="Q114" s="869"/>
      <c r="R114" s="869"/>
      <c r="S114" s="756"/>
      <c r="T114" s="756"/>
      <c r="U114" s="756"/>
      <c r="V114" s="756"/>
      <c r="W114" s="756"/>
      <c r="X114" s="756"/>
      <c r="Y114" s="910"/>
      <c r="Z114" s="759"/>
      <c r="AA114" s="762"/>
      <c r="AB114" s="759"/>
      <c r="AC114" s="759"/>
      <c r="AD114" s="759"/>
    </row>
    <row r="115" spans="1:30" ht="9" customHeight="1">
      <c r="A115" s="758"/>
      <c r="B115" s="758"/>
      <c r="C115" s="756"/>
      <c r="D115" s="756"/>
      <c r="E115" s="756"/>
      <c r="F115" s="756"/>
      <c r="G115" s="756"/>
      <c r="H115" s="806"/>
      <c r="I115" s="806"/>
      <c r="J115" s="806"/>
      <c r="K115" s="806"/>
      <c r="L115" s="806"/>
      <c r="M115" s="756"/>
      <c r="N115" s="805"/>
      <c r="O115" s="869"/>
      <c r="P115" s="869"/>
      <c r="Q115" s="869"/>
      <c r="R115" s="869"/>
      <c r="S115" s="756"/>
      <c r="T115" s="756"/>
      <c r="U115" s="756"/>
      <c r="V115" s="756"/>
      <c r="W115" s="756"/>
      <c r="X115" s="756"/>
      <c r="Y115" s="910"/>
      <c r="Z115" s="759"/>
      <c r="AA115" s="762"/>
      <c r="AB115" s="759"/>
      <c r="AC115" s="759"/>
      <c r="AD115" s="759"/>
    </row>
    <row r="116" spans="1:30" ht="9" customHeight="1">
      <c r="A116" s="758"/>
      <c r="B116" s="758"/>
      <c r="C116" s="756"/>
      <c r="D116" s="756"/>
      <c r="E116" s="756"/>
      <c r="F116" s="756"/>
      <c r="G116" s="756"/>
      <c r="H116" s="806"/>
      <c r="I116" s="806"/>
      <c r="J116" s="806"/>
      <c r="K116" s="806"/>
      <c r="L116" s="806"/>
      <c r="M116" s="756"/>
      <c r="N116" s="805"/>
      <c r="O116" s="869"/>
      <c r="P116" s="869"/>
      <c r="Q116" s="869"/>
      <c r="R116" s="869"/>
      <c r="S116" s="756"/>
      <c r="T116" s="756"/>
      <c r="U116" s="756"/>
      <c r="V116" s="756"/>
      <c r="W116" s="756"/>
      <c r="X116" s="756"/>
      <c r="Y116" s="910"/>
      <c r="Z116" s="759"/>
      <c r="AA116" s="762"/>
      <c r="AB116" s="759"/>
      <c r="AC116" s="759"/>
      <c r="AD116" s="759"/>
    </row>
    <row r="117" spans="1:30" ht="9" customHeight="1">
      <c r="A117" s="758"/>
      <c r="B117" s="758"/>
      <c r="C117" s="756"/>
      <c r="D117" s="756"/>
      <c r="E117" s="756"/>
      <c r="F117" s="756"/>
      <c r="G117" s="756"/>
      <c r="H117" s="806"/>
      <c r="I117" s="806"/>
      <c r="J117" s="806"/>
      <c r="K117" s="806"/>
      <c r="L117" s="806"/>
      <c r="M117" s="756"/>
      <c r="N117" s="805"/>
      <c r="O117" s="869"/>
      <c r="P117" s="869"/>
      <c r="Q117" s="869"/>
      <c r="R117" s="869"/>
      <c r="S117" s="756"/>
      <c r="T117" s="756"/>
      <c r="U117" s="756"/>
      <c r="V117" s="756"/>
      <c r="W117" s="756"/>
      <c r="X117" s="756"/>
      <c r="Y117" s="910"/>
      <c r="Z117" s="759"/>
      <c r="AA117" s="762"/>
      <c r="AB117" s="759"/>
      <c r="AC117" s="759"/>
      <c r="AD117" s="759"/>
    </row>
    <row r="118" spans="1:30" ht="9" customHeight="1">
      <c r="A118" s="758"/>
      <c r="B118" s="758"/>
      <c r="C118" s="756"/>
      <c r="D118" s="756"/>
      <c r="E118" s="756"/>
      <c r="F118" s="756"/>
      <c r="G118" s="756"/>
      <c r="H118" s="806"/>
      <c r="I118" s="806"/>
      <c r="J118" s="806"/>
      <c r="K118" s="806"/>
      <c r="L118" s="806"/>
      <c r="M118" s="756"/>
      <c r="N118" s="805"/>
      <c r="O118" s="869"/>
      <c r="P118" s="869"/>
      <c r="Q118" s="869"/>
      <c r="R118" s="869"/>
      <c r="S118" s="756"/>
      <c r="T118" s="756"/>
      <c r="U118" s="756"/>
      <c r="V118" s="756"/>
      <c r="W118" s="756"/>
      <c r="X118" s="756"/>
      <c r="Y118" s="910"/>
      <c r="Z118" s="759"/>
      <c r="AA118" s="762"/>
      <c r="AB118" s="759"/>
      <c r="AC118" s="759"/>
      <c r="AD118" s="759"/>
    </row>
    <row r="119" spans="1:30" ht="9" customHeight="1">
      <c r="A119" s="758"/>
      <c r="B119" s="758"/>
      <c r="C119" s="756"/>
      <c r="D119" s="756"/>
      <c r="E119" s="756"/>
      <c r="F119" s="756"/>
      <c r="G119" s="756"/>
      <c r="H119" s="806"/>
      <c r="I119" s="806"/>
      <c r="J119" s="806"/>
      <c r="K119" s="806"/>
      <c r="L119" s="806"/>
      <c r="M119" s="756"/>
      <c r="N119" s="805"/>
      <c r="O119" s="869"/>
      <c r="P119" s="869"/>
      <c r="Q119" s="869"/>
      <c r="R119" s="869"/>
      <c r="S119" s="756"/>
      <c r="T119" s="756"/>
      <c r="U119" s="756"/>
      <c r="V119" s="756"/>
      <c r="W119" s="756"/>
      <c r="X119" s="756"/>
      <c r="Y119" s="910"/>
      <c r="Z119" s="759"/>
      <c r="AA119" s="762"/>
      <c r="AB119" s="759"/>
      <c r="AC119" s="759"/>
      <c r="AD119" s="759"/>
    </row>
    <row r="120" spans="1:30" ht="9" customHeight="1">
      <c r="A120" s="758"/>
      <c r="B120" s="758"/>
      <c r="C120" s="756"/>
      <c r="D120" s="756"/>
      <c r="E120" s="756"/>
      <c r="F120" s="756"/>
      <c r="G120" s="756"/>
      <c r="H120" s="806"/>
      <c r="I120" s="806"/>
      <c r="J120" s="806"/>
      <c r="K120" s="806"/>
      <c r="L120" s="806"/>
      <c r="M120" s="756"/>
      <c r="N120" s="805"/>
      <c r="O120" s="869"/>
      <c r="P120" s="869"/>
      <c r="Q120" s="869"/>
      <c r="R120" s="869"/>
      <c r="S120" s="756"/>
      <c r="T120" s="756"/>
      <c r="U120" s="756"/>
      <c r="V120" s="756"/>
      <c r="W120" s="756"/>
      <c r="X120" s="756"/>
      <c r="Y120" s="910"/>
      <c r="Z120" s="759"/>
      <c r="AA120" s="762"/>
      <c r="AB120" s="759"/>
      <c r="AC120" s="759"/>
      <c r="AD120" s="759"/>
    </row>
    <row r="121" spans="1:30" ht="9" customHeight="1">
      <c r="A121" s="758"/>
      <c r="B121" s="758"/>
      <c r="C121" s="756"/>
      <c r="D121" s="756"/>
      <c r="E121" s="756"/>
      <c r="F121" s="756"/>
      <c r="G121" s="756"/>
      <c r="H121" s="806"/>
      <c r="I121" s="806"/>
      <c r="J121" s="806"/>
      <c r="K121" s="806"/>
      <c r="L121" s="806"/>
      <c r="M121" s="756"/>
      <c r="N121" s="805"/>
      <c r="O121" s="869"/>
      <c r="P121" s="869"/>
      <c r="Q121" s="869"/>
      <c r="R121" s="869"/>
      <c r="S121" s="756"/>
      <c r="T121" s="756"/>
      <c r="U121" s="756"/>
      <c r="V121" s="756"/>
      <c r="W121" s="756"/>
      <c r="X121" s="756"/>
      <c r="Y121" s="910"/>
      <c r="Z121" s="759"/>
      <c r="AA121" s="762"/>
      <c r="AB121" s="759"/>
      <c r="AC121" s="759"/>
      <c r="AD121" s="759"/>
    </row>
    <row r="122" spans="1:30" ht="9" customHeight="1">
      <c r="A122" s="758"/>
      <c r="B122" s="758"/>
      <c r="C122" s="756"/>
      <c r="D122" s="756"/>
      <c r="E122" s="756"/>
      <c r="F122" s="756"/>
      <c r="G122" s="756"/>
      <c r="H122" s="806"/>
      <c r="I122" s="806"/>
      <c r="J122" s="806"/>
      <c r="K122" s="806"/>
      <c r="L122" s="806"/>
      <c r="M122" s="756"/>
      <c r="N122" s="805"/>
      <c r="O122" s="869"/>
      <c r="P122" s="869"/>
      <c r="Q122" s="869"/>
      <c r="R122" s="869"/>
      <c r="S122" s="756"/>
      <c r="T122" s="756"/>
      <c r="U122" s="756"/>
      <c r="V122" s="756"/>
      <c r="W122" s="756"/>
      <c r="X122" s="756"/>
      <c r="Y122" s="910"/>
      <c r="Z122" s="759"/>
      <c r="AA122" s="762"/>
      <c r="AB122" s="759"/>
      <c r="AC122" s="759"/>
      <c r="AD122" s="759"/>
    </row>
    <row r="123" spans="1:30" ht="9" customHeight="1">
      <c r="A123" s="758"/>
      <c r="B123" s="758"/>
      <c r="C123" s="756"/>
      <c r="D123" s="756"/>
      <c r="E123" s="756"/>
      <c r="F123" s="756"/>
      <c r="G123" s="756"/>
      <c r="H123" s="806"/>
      <c r="I123" s="806"/>
      <c r="J123" s="806"/>
      <c r="K123" s="806"/>
      <c r="L123" s="806"/>
      <c r="M123" s="756"/>
      <c r="N123" s="805"/>
      <c r="O123" s="869"/>
      <c r="P123" s="869"/>
      <c r="Q123" s="869"/>
      <c r="R123" s="869"/>
      <c r="S123" s="756"/>
      <c r="T123" s="756"/>
      <c r="U123" s="756"/>
      <c r="V123" s="756"/>
      <c r="W123" s="756"/>
      <c r="X123" s="756"/>
      <c r="Y123" s="910"/>
      <c r="Z123" s="759"/>
      <c r="AA123" s="762"/>
      <c r="AB123" s="759"/>
      <c r="AC123" s="759"/>
      <c r="AD123" s="759"/>
    </row>
    <row r="124" spans="1:30" ht="9" customHeight="1">
      <c r="A124" s="758"/>
      <c r="B124" s="758"/>
      <c r="C124" s="756"/>
      <c r="D124" s="756"/>
      <c r="E124" s="756"/>
      <c r="F124" s="756"/>
      <c r="G124" s="756"/>
      <c r="H124" s="806"/>
      <c r="I124" s="806"/>
      <c r="J124" s="806"/>
      <c r="K124" s="806"/>
      <c r="L124" s="806"/>
      <c r="M124" s="756"/>
      <c r="N124" s="805"/>
      <c r="O124" s="869"/>
      <c r="P124" s="869"/>
      <c r="Q124" s="869"/>
      <c r="R124" s="869"/>
      <c r="S124" s="756"/>
      <c r="T124" s="756"/>
      <c r="U124" s="756"/>
      <c r="V124" s="756"/>
      <c r="W124" s="756"/>
      <c r="X124" s="756"/>
      <c r="Y124" s="910"/>
      <c r="Z124" s="759"/>
      <c r="AA124" s="762"/>
      <c r="AB124" s="759"/>
      <c r="AC124" s="759"/>
      <c r="AD124" s="759"/>
    </row>
    <row r="125" spans="1:30" ht="9" customHeight="1">
      <c r="A125" s="758"/>
      <c r="B125" s="758"/>
      <c r="C125" s="756"/>
      <c r="D125" s="756"/>
      <c r="E125" s="756"/>
      <c r="F125" s="756"/>
      <c r="G125" s="756"/>
      <c r="H125" s="806"/>
      <c r="I125" s="806"/>
      <c r="J125" s="806"/>
      <c r="K125" s="806"/>
      <c r="L125" s="806"/>
      <c r="M125" s="756"/>
      <c r="N125" s="805"/>
      <c r="O125" s="869"/>
      <c r="P125" s="869"/>
      <c r="Q125" s="869"/>
      <c r="R125" s="869"/>
      <c r="S125" s="756"/>
      <c r="T125" s="756"/>
      <c r="U125" s="756"/>
      <c r="V125" s="756"/>
      <c r="W125" s="756"/>
      <c r="X125" s="756"/>
      <c r="Y125" s="910"/>
      <c r="Z125" s="759"/>
      <c r="AA125" s="762"/>
      <c r="AB125" s="759"/>
      <c r="AC125" s="759"/>
      <c r="AD125" s="759"/>
    </row>
    <row r="126" spans="1:30" ht="9" customHeight="1">
      <c r="A126" s="758"/>
      <c r="B126" s="758"/>
      <c r="C126" s="756"/>
      <c r="D126" s="756"/>
      <c r="E126" s="756"/>
      <c r="F126" s="756"/>
      <c r="G126" s="756"/>
      <c r="H126" s="806"/>
      <c r="I126" s="806"/>
      <c r="J126" s="806"/>
      <c r="K126" s="806"/>
      <c r="L126" s="806"/>
      <c r="M126" s="756"/>
      <c r="N126" s="805"/>
      <c r="O126" s="869"/>
      <c r="P126" s="869"/>
      <c r="Q126" s="869"/>
      <c r="R126" s="869"/>
      <c r="S126" s="756"/>
      <c r="T126" s="756"/>
      <c r="U126" s="756"/>
      <c r="V126" s="756"/>
      <c r="W126" s="756"/>
      <c r="X126" s="756"/>
      <c r="Y126" s="910"/>
      <c r="Z126" s="759"/>
      <c r="AA126" s="762"/>
      <c r="AB126" s="759"/>
      <c r="AC126" s="759"/>
      <c r="AD126" s="759"/>
    </row>
    <row r="127" spans="1:30" ht="9" customHeight="1">
      <c r="A127" s="758"/>
      <c r="B127" s="758"/>
      <c r="C127" s="756"/>
      <c r="D127" s="756"/>
      <c r="E127" s="756"/>
      <c r="F127" s="756"/>
      <c r="G127" s="756"/>
      <c r="H127" s="806"/>
      <c r="I127" s="806"/>
      <c r="J127" s="806"/>
      <c r="K127" s="806"/>
      <c r="L127" s="806"/>
      <c r="M127" s="756"/>
      <c r="N127" s="805"/>
      <c r="O127" s="869"/>
      <c r="P127" s="869"/>
      <c r="Q127" s="869"/>
      <c r="R127" s="869"/>
      <c r="S127" s="756"/>
      <c r="T127" s="756"/>
      <c r="U127" s="756"/>
      <c r="V127" s="756"/>
      <c r="W127" s="756"/>
      <c r="X127" s="756"/>
      <c r="Y127" s="910"/>
      <c r="Z127" s="759"/>
      <c r="AA127" s="762"/>
      <c r="AB127" s="759"/>
      <c r="AC127" s="759"/>
      <c r="AD127" s="759"/>
    </row>
    <row r="128" spans="1:30" ht="9" customHeight="1">
      <c r="A128" s="758"/>
      <c r="B128" s="758"/>
      <c r="C128" s="756"/>
      <c r="D128" s="756"/>
      <c r="E128" s="756"/>
      <c r="F128" s="756"/>
      <c r="G128" s="756"/>
      <c r="H128" s="806"/>
      <c r="I128" s="806"/>
      <c r="J128" s="806"/>
      <c r="K128" s="806"/>
      <c r="L128" s="806"/>
      <c r="M128" s="756"/>
      <c r="N128" s="805"/>
      <c r="O128" s="869"/>
      <c r="P128" s="869"/>
      <c r="Q128" s="869"/>
      <c r="R128" s="869"/>
      <c r="S128" s="756"/>
      <c r="T128" s="756"/>
      <c r="U128" s="756"/>
      <c r="V128" s="756"/>
      <c r="W128" s="756"/>
      <c r="X128" s="756"/>
      <c r="Y128" s="910"/>
      <c r="Z128" s="759"/>
      <c r="AA128" s="762"/>
      <c r="AB128" s="759"/>
      <c r="AC128" s="759"/>
      <c r="AD128" s="759"/>
    </row>
    <row r="129" spans="1:30" ht="9" customHeight="1">
      <c r="A129" s="758"/>
      <c r="B129" s="758"/>
      <c r="C129" s="756"/>
      <c r="D129" s="756"/>
      <c r="E129" s="756"/>
      <c r="F129" s="756"/>
      <c r="G129" s="756"/>
      <c r="H129" s="806"/>
      <c r="I129" s="806"/>
      <c r="J129" s="806"/>
      <c r="K129" s="806"/>
      <c r="L129" s="806"/>
      <c r="M129" s="756"/>
      <c r="N129" s="805"/>
      <c r="O129" s="869"/>
      <c r="P129" s="869"/>
      <c r="Q129" s="869"/>
      <c r="R129" s="869"/>
      <c r="S129" s="756"/>
      <c r="T129" s="756"/>
      <c r="U129" s="756"/>
      <c r="V129" s="756"/>
      <c r="W129" s="756"/>
      <c r="X129" s="756"/>
      <c r="Y129" s="910"/>
      <c r="Z129" s="759"/>
      <c r="AA129" s="762"/>
      <c r="AB129" s="759"/>
      <c r="AC129" s="759"/>
      <c r="AD129" s="759"/>
    </row>
    <row r="130" spans="1:30" ht="9" customHeight="1">
      <c r="A130" s="758"/>
      <c r="B130" s="758"/>
      <c r="C130" s="756"/>
      <c r="D130" s="756"/>
      <c r="E130" s="756"/>
      <c r="F130" s="756"/>
      <c r="G130" s="756"/>
      <c r="H130" s="806"/>
      <c r="I130" s="806"/>
      <c r="J130" s="806"/>
      <c r="K130" s="806"/>
      <c r="L130" s="806"/>
      <c r="M130" s="756"/>
      <c r="N130" s="805"/>
      <c r="O130" s="871"/>
      <c r="P130" s="871"/>
      <c r="Q130" s="871"/>
      <c r="R130" s="871"/>
      <c r="S130" s="756"/>
      <c r="T130" s="756"/>
      <c r="U130" s="756"/>
      <c r="V130" s="756"/>
      <c r="W130" s="756"/>
      <c r="X130" s="756"/>
      <c r="Y130" s="910"/>
      <c r="Z130" s="759"/>
      <c r="AA130" s="762"/>
      <c r="AB130" s="759"/>
      <c r="AC130" s="759"/>
      <c r="AD130" s="759"/>
    </row>
    <row r="131" spans="1:30" ht="9" customHeight="1">
      <c r="A131" s="758"/>
      <c r="B131" s="758"/>
      <c r="C131" s="756"/>
      <c r="D131" s="756"/>
      <c r="E131" s="756"/>
      <c r="F131" s="756"/>
      <c r="G131" s="756"/>
      <c r="H131" s="806"/>
      <c r="I131" s="806"/>
      <c r="J131" s="806"/>
      <c r="K131" s="806"/>
      <c r="L131" s="806"/>
      <c r="M131" s="756"/>
      <c r="N131" s="805"/>
      <c r="O131" s="872"/>
      <c r="P131" s="872"/>
      <c r="Q131" s="872"/>
      <c r="R131" s="872"/>
      <c r="S131" s="756"/>
      <c r="T131" s="756"/>
      <c r="U131" s="756"/>
      <c r="V131" s="756"/>
      <c r="W131" s="756"/>
      <c r="X131" s="756"/>
      <c r="Y131" s="910"/>
      <c r="Z131" s="759"/>
      <c r="AA131" s="762"/>
      <c r="AB131" s="759"/>
      <c r="AC131" s="759"/>
      <c r="AD131" s="759"/>
    </row>
    <row r="132" spans="1:30" ht="9" customHeight="1">
      <c r="A132" s="758"/>
      <c r="B132" s="758"/>
      <c r="C132" s="756"/>
      <c r="D132" s="756"/>
      <c r="E132" s="756"/>
      <c r="F132" s="756"/>
      <c r="G132" s="756"/>
      <c r="H132" s="806"/>
      <c r="I132" s="806"/>
      <c r="J132" s="806"/>
      <c r="K132" s="806"/>
      <c r="L132" s="806"/>
      <c r="M132" s="756"/>
      <c r="N132" s="805"/>
      <c r="O132" s="871"/>
      <c r="P132" s="871"/>
      <c r="Q132" s="871"/>
      <c r="R132" s="871"/>
      <c r="S132" s="756"/>
      <c r="T132" s="756"/>
      <c r="U132" s="756"/>
      <c r="V132" s="756"/>
      <c r="W132" s="756"/>
      <c r="X132" s="756"/>
      <c r="Y132" s="910"/>
      <c r="Z132" s="759"/>
      <c r="AA132" s="762"/>
      <c r="AB132" s="759"/>
      <c r="AC132" s="759"/>
      <c r="AD132" s="759"/>
    </row>
    <row r="133" spans="1:30" ht="9" customHeight="1">
      <c r="A133" s="758"/>
      <c r="B133" s="758"/>
      <c r="C133" s="756"/>
      <c r="D133" s="756"/>
      <c r="E133" s="756"/>
      <c r="F133" s="756"/>
      <c r="G133" s="756"/>
      <c r="H133" s="806"/>
      <c r="I133" s="806"/>
      <c r="J133" s="806"/>
      <c r="K133" s="806"/>
      <c r="L133" s="806"/>
      <c r="M133" s="756"/>
      <c r="N133" s="805"/>
      <c r="O133" s="872"/>
      <c r="P133" s="872"/>
      <c r="Q133" s="872"/>
      <c r="R133" s="872"/>
      <c r="S133" s="756"/>
      <c r="T133" s="756"/>
      <c r="U133" s="756"/>
      <c r="V133" s="756"/>
      <c r="W133" s="756"/>
      <c r="X133" s="756"/>
      <c r="Y133" s="910"/>
      <c r="Z133" s="759"/>
      <c r="AA133" s="762"/>
      <c r="AB133" s="759"/>
      <c r="AC133" s="759"/>
      <c r="AD133" s="759"/>
    </row>
    <row r="134" spans="1:30" ht="9" customHeight="1">
      <c r="A134" s="758"/>
      <c r="B134" s="758"/>
      <c r="C134" s="756"/>
      <c r="D134" s="756"/>
      <c r="E134" s="756"/>
      <c r="F134" s="756"/>
      <c r="G134" s="756"/>
      <c r="H134" s="806"/>
      <c r="I134" s="806"/>
      <c r="J134" s="806"/>
      <c r="K134" s="806"/>
      <c r="L134" s="806"/>
      <c r="M134" s="756"/>
      <c r="N134" s="805"/>
      <c r="O134" s="869"/>
      <c r="P134" s="869"/>
      <c r="Q134" s="869"/>
      <c r="R134" s="869"/>
      <c r="S134" s="756"/>
      <c r="T134" s="756"/>
      <c r="U134" s="756"/>
      <c r="V134" s="756"/>
      <c r="W134" s="756"/>
      <c r="X134" s="756"/>
      <c r="Y134" s="910"/>
      <c r="Z134" s="759"/>
      <c r="AA134" s="762"/>
      <c r="AB134" s="759"/>
      <c r="AC134" s="759"/>
      <c r="AD134" s="759"/>
    </row>
    <row r="135" spans="1:30" ht="9" customHeight="1">
      <c r="A135" s="758"/>
      <c r="B135" s="758"/>
      <c r="C135" s="756"/>
      <c r="D135" s="756"/>
      <c r="E135" s="756"/>
      <c r="F135" s="756"/>
      <c r="G135" s="756"/>
      <c r="H135" s="806"/>
      <c r="I135" s="806"/>
      <c r="J135" s="806"/>
      <c r="K135" s="806"/>
      <c r="L135" s="806"/>
      <c r="M135" s="756"/>
      <c r="N135" s="805"/>
      <c r="O135" s="869"/>
      <c r="P135" s="869"/>
      <c r="Q135" s="869"/>
      <c r="R135" s="869"/>
      <c r="S135" s="756"/>
      <c r="T135" s="756"/>
      <c r="U135" s="756"/>
      <c r="V135" s="756"/>
      <c r="W135" s="756"/>
      <c r="X135" s="756"/>
      <c r="Y135" s="910"/>
      <c r="Z135" s="759"/>
      <c r="AA135" s="762"/>
      <c r="AB135" s="759"/>
      <c r="AC135" s="759"/>
      <c r="AD135" s="759"/>
    </row>
    <row r="136" spans="1:30" ht="9" customHeight="1">
      <c r="A136" s="758"/>
      <c r="B136" s="758"/>
      <c r="C136" s="756"/>
      <c r="D136" s="756"/>
      <c r="E136" s="756"/>
      <c r="F136" s="756"/>
      <c r="G136" s="756"/>
      <c r="H136" s="806"/>
      <c r="I136" s="806"/>
      <c r="J136" s="806"/>
      <c r="K136" s="806"/>
      <c r="L136" s="806"/>
      <c r="M136" s="756"/>
      <c r="N136" s="805"/>
      <c r="O136" s="869"/>
      <c r="P136" s="869"/>
      <c r="Q136" s="869"/>
      <c r="R136" s="869"/>
      <c r="S136" s="756"/>
      <c r="T136" s="756"/>
      <c r="U136" s="756"/>
      <c r="V136" s="756"/>
      <c r="W136" s="756"/>
      <c r="X136" s="756"/>
      <c r="Y136" s="910"/>
      <c r="Z136" s="759"/>
      <c r="AA136" s="762"/>
      <c r="AB136" s="759"/>
      <c r="AC136" s="759"/>
      <c r="AD136" s="759"/>
    </row>
    <row r="137" spans="1:30" ht="9" customHeight="1">
      <c r="A137" s="758"/>
      <c r="B137" s="758"/>
      <c r="C137" s="756"/>
      <c r="D137" s="756"/>
      <c r="E137" s="756"/>
      <c r="F137" s="756"/>
      <c r="G137" s="756"/>
      <c r="H137" s="806"/>
      <c r="I137" s="806"/>
      <c r="J137" s="806"/>
      <c r="K137" s="806"/>
      <c r="L137" s="806"/>
      <c r="M137" s="756"/>
      <c r="N137" s="805"/>
      <c r="O137" s="873"/>
      <c r="P137" s="873"/>
      <c r="Q137" s="873"/>
      <c r="R137" s="873"/>
      <c r="S137" s="756"/>
      <c r="T137" s="756"/>
      <c r="U137" s="756"/>
      <c r="V137" s="756"/>
      <c r="W137" s="756"/>
      <c r="X137" s="756"/>
      <c r="Y137" s="910"/>
      <c r="Z137" s="759"/>
      <c r="AA137" s="762"/>
      <c r="AB137" s="759"/>
      <c r="AC137" s="759"/>
      <c r="AD137" s="759"/>
    </row>
    <row r="138" spans="1:30" ht="9" customHeight="1">
      <c r="A138" s="758"/>
      <c r="B138" s="758"/>
      <c r="C138" s="756"/>
      <c r="D138" s="756"/>
      <c r="E138" s="756"/>
      <c r="F138" s="756"/>
      <c r="G138" s="756"/>
      <c r="H138" s="806"/>
      <c r="I138" s="806"/>
      <c r="J138" s="806"/>
      <c r="K138" s="806"/>
      <c r="L138" s="806"/>
      <c r="M138" s="756"/>
      <c r="N138" s="805"/>
      <c r="O138" s="870"/>
      <c r="P138" s="870"/>
      <c r="Q138" s="870"/>
      <c r="R138" s="870"/>
      <c r="S138" s="756"/>
      <c r="T138" s="756"/>
      <c r="U138" s="756"/>
      <c r="V138" s="756"/>
      <c r="W138" s="756"/>
      <c r="X138" s="756"/>
      <c r="Y138" s="910"/>
      <c r="Z138" s="759"/>
      <c r="AA138" s="762"/>
      <c r="AB138" s="759"/>
      <c r="AC138" s="759"/>
      <c r="AD138" s="759"/>
    </row>
    <row r="139" spans="1:30" ht="9" customHeight="1">
      <c r="A139" s="758"/>
      <c r="B139" s="758"/>
      <c r="C139" s="756"/>
      <c r="D139" s="756"/>
      <c r="E139" s="756"/>
      <c r="F139" s="756"/>
      <c r="G139" s="756"/>
      <c r="H139" s="806"/>
      <c r="I139" s="806"/>
      <c r="J139" s="806"/>
      <c r="K139" s="806"/>
      <c r="L139" s="806"/>
      <c r="M139" s="756"/>
      <c r="N139" s="805"/>
      <c r="O139" s="756"/>
      <c r="P139" s="756"/>
      <c r="Q139" s="756"/>
      <c r="R139" s="756"/>
      <c r="S139" s="756"/>
      <c r="T139" s="756"/>
      <c r="U139" s="756"/>
      <c r="V139" s="756"/>
      <c r="W139" s="756"/>
      <c r="X139" s="756"/>
      <c r="Y139" s="910"/>
      <c r="Z139" s="759"/>
      <c r="AA139" s="762"/>
      <c r="AB139" s="759"/>
      <c r="AC139" s="759"/>
      <c r="AD139" s="759"/>
    </row>
    <row r="140" spans="1:30" ht="9" customHeight="1">
      <c r="A140" s="758"/>
      <c r="B140" s="758"/>
      <c r="C140" s="756"/>
      <c r="D140" s="756"/>
      <c r="E140" s="756"/>
      <c r="F140" s="756"/>
      <c r="G140" s="756"/>
      <c r="H140" s="806"/>
      <c r="I140" s="806"/>
      <c r="J140" s="806"/>
      <c r="K140" s="806"/>
      <c r="L140" s="806"/>
      <c r="M140" s="756"/>
      <c r="N140" s="805"/>
      <c r="O140" s="756"/>
      <c r="P140" s="756"/>
      <c r="Q140" s="756"/>
      <c r="R140" s="756"/>
      <c r="S140" s="756"/>
      <c r="T140" s="756"/>
      <c r="U140" s="756"/>
      <c r="V140" s="756"/>
      <c r="W140" s="756"/>
      <c r="X140" s="756"/>
      <c r="Y140" s="910"/>
      <c r="Z140" s="759"/>
      <c r="AA140" s="762"/>
      <c r="AB140" s="759"/>
      <c r="AC140" s="759"/>
      <c r="AD140" s="759"/>
    </row>
    <row r="141" spans="1:30" ht="9" customHeight="1">
      <c r="A141" s="758"/>
      <c r="B141" s="758"/>
      <c r="C141" s="756"/>
      <c r="D141" s="756"/>
      <c r="E141" s="756"/>
      <c r="F141" s="756"/>
      <c r="G141" s="756"/>
      <c r="H141" s="806"/>
      <c r="I141" s="806"/>
      <c r="J141" s="806"/>
      <c r="K141" s="806"/>
      <c r="L141" s="806"/>
      <c r="M141" s="756"/>
      <c r="N141" s="805"/>
      <c r="O141" s="756"/>
      <c r="P141" s="756"/>
      <c r="Q141" s="756"/>
      <c r="R141" s="756"/>
      <c r="S141" s="756"/>
      <c r="T141" s="756"/>
      <c r="U141" s="756"/>
      <c r="V141" s="756"/>
      <c r="W141" s="756"/>
      <c r="X141" s="756"/>
      <c r="Y141" s="910"/>
      <c r="Z141" s="759"/>
      <c r="AA141" s="762"/>
      <c r="AB141" s="759"/>
      <c r="AC141" s="759"/>
      <c r="AD141" s="759"/>
    </row>
    <row r="142" spans="1:30" ht="9" customHeight="1">
      <c r="A142" s="758"/>
      <c r="B142" s="758"/>
      <c r="C142" s="756"/>
      <c r="D142" s="756"/>
      <c r="E142" s="756"/>
      <c r="F142" s="756"/>
      <c r="G142" s="756"/>
      <c r="H142" s="806"/>
      <c r="I142" s="806"/>
      <c r="J142" s="806"/>
      <c r="K142" s="806"/>
      <c r="L142" s="806"/>
      <c r="M142" s="756"/>
      <c r="N142" s="805"/>
      <c r="O142" s="756"/>
      <c r="P142" s="756"/>
      <c r="Q142" s="756"/>
      <c r="R142" s="756"/>
      <c r="S142" s="756"/>
      <c r="T142" s="756"/>
      <c r="U142" s="756"/>
      <c r="V142" s="756"/>
      <c r="W142" s="756"/>
      <c r="X142" s="756"/>
      <c r="Y142" s="910"/>
      <c r="Z142" s="759"/>
      <c r="AA142" s="762"/>
      <c r="AB142" s="759"/>
      <c r="AC142" s="759"/>
      <c r="AD142" s="759"/>
    </row>
    <row r="143" spans="1:30" ht="9" customHeight="1">
      <c r="A143" s="758"/>
      <c r="B143" s="758"/>
      <c r="C143" s="756"/>
      <c r="D143" s="756"/>
      <c r="E143" s="756"/>
      <c r="F143" s="756"/>
      <c r="G143" s="756"/>
      <c r="H143" s="806"/>
      <c r="I143" s="806"/>
      <c r="J143" s="806"/>
      <c r="K143" s="806"/>
      <c r="L143" s="806"/>
      <c r="M143" s="756"/>
      <c r="N143" s="805"/>
      <c r="O143" s="756"/>
      <c r="P143" s="756"/>
      <c r="Q143" s="756"/>
      <c r="R143" s="756"/>
      <c r="S143" s="756"/>
      <c r="T143" s="756"/>
      <c r="U143" s="756"/>
      <c r="V143" s="756"/>
      <c r="W143" s="756"/>
      <c r="X143" s="756"/>
      <c r="Y143" s="910"/>
      <c r="Z143" s="759"/>
      <c r="AA143" s="762"/>
      <c r="AB143" s="759"/>
      <c r="AC143" s="759"/>
      <c r="AD143" s="759"/>
    </row>
    <row r="144" spans="1:30" ht="9" customHeight="1">
      <c r="A144" s="758"/>
      <c r="B144" s="758"/>
      <c r="C144" s="756"/>
      <c r="D144" s="756"/>
      <c r="E144" s="756"/>
      <c r="F144" s="756"/>
      <c r="G144" s="756"/>
      <c r="H144" s="806"/>
      <c r="I144" s="806"/>
      <c r="J144" s="806"/>
      <c r="K144" s="806"/>
      <c r="L144" s="806"/>
      <c r="M144" s="756"/>
      <c r="N144" s="805"/>
      <c r="O144" s="756"/>
      <c r="P144" s="756"/>
      <c r="Q144" s="756"/>
      <c r="R144" s="756"/>
      <c r="S144" s="756"/>
      <c r="T144" s="756"/>
      <c r="U144" s="756"/>
      <c r="V144" s="756"/>
      <c r="W144" s="756"/>
      <c r="X144" s="756"/>
      <c r="Y144" s="910"/>
      <c r="Z144" s="759"/>
      <c r="AA144" s="762"/>
      <c r="AB144" s="759"/>
      <c r="AC144" s="759"/>
      <c r="AD144" s="759"/>
    </row>
    <row r="145" spans="1:30" ht="9" customHeight="1">
      <c r="A145" s="758"/>
      <c r="B145" s="758"/>
      <c r="C145" s="756"/>
      <c r="D145" s="756"/>
      <c r="E145" s="756"/>
      <c r="F145" s="756"/>
      <c r="G145" s="756"/>
      <c r="H145" s="806"/>
      <c r="I145" s="806"/>
      <c r="J145" s="806"/>
      <c r="K145" s="806"/>
      <c r="L145" s="806"/>
      <c r="M145" s="756"/>
      <c r="N145" s="805"/>
      <c r="O145" s="756"/>
      <c r="P145" s="756"/>
      <c r="Q145" s="756"/>
      <c r="R145" s="756"/>
      <c r="S145" s="756"/>
      <c r="T145" s="756"/>
      <c r="U145" s="756"/>
      <c r="V145" s="756"/>
      <c r="W145" s="756"/>
      <c r="X145" s="756"/>
      <c r="Y145" s="910"/>
      <c r="Z145" s="759"/>
      <c r="AA145" s="762"/>
      <c r="AB145" s="759"/>
      <c r="AC145" s="759"/>
      <c r="AD145" s="759"/>
    </row>
    <row r="146" spans="1:30" ht="9" customHeight="1">
      <c r="A146" s="758"/>
      <c r="B146" s="758"/>
      <c r="C146" s="756"/>
      <c r="D146" s="756"/>
      <c r="E146" s="756"/>
      <c r="F146" s="756"/>
      <c r="G146" s="756"/>
      <c r="H146" s="806"/>
      <c r="I146" s="806"/>
      <c r="J146" s="806"/>
      <c r="K146" s="806"/>
      <c r="L146" s="806"/>
      <c r="M146" s="756"/>
      <c r="N146" s="805"/>
      <c r="O146" s="756"/>
      <c r="P146" s="756"/>
      <c r="Q146" s="756"/>
      <c r="R146" s="756"/>
      <c r="S146" s="756"/>
      <c r="T146" s="756"/>
      <c r="U146" s="756"/>
      <c r="V146" s="756"/>
      <c r="W146" s="756"/>
      <c r="X146" s="756"/>
      <c r="Y146" s="910"/>
      <c r="Z146" s="759"/>
      <c r="AA146" s="762"/>
      <c r="AB146" s="759"/>
      <c r="AC146" s="759"/>
      <c r="AD146" s="759"/>
    </row>
    <row r="147" spans="1:30" ht="9" customHeight="1">
      <c r="A147" s="758"/>
      <c r="B147" s="758"/>
      <c r="C147" s="758"/>
      <c r="D147" s="758"/>
      <c r="E147" s="758"/>
      <c r="F147" s="758"/>
      <c r="G147" s="758"/>
      <c r="H147" s="758"/>
      <c r="I147" s="758"/>
      <c r="J147" s="758"/>
      <c r="K147" s="758"/>
      <c r="L147" s="758"/>
      <c r="M147" s="758"/>
      <c r="N147" s="758"/>
      <c r="O147" s="758"/>
      <c r="P147" s="758"/>
      <c r="Q147" s="758"/>
      <c r="R147" s="758"/>
      <c r="S147" s="758"/>
      <c r="T147" s="758"/>
      <c r="U147" s="758"/>
      <c r="V147" s="758"/>
      <c r="W147" s="758"/>
      <c r="X147" s="758"/>
      <c r="Y147" s="758"/>
      <c r="Z147" s="758"/>
      <c r="AA147" s="758"/>
      <c r="AB147" s="758"/>
      <c r="AC147" s="758"/>
      <c r="AD147" s="758"/>
    </row>
    <row r="148" spans="1:30" ht="90" customHeight="1">
      <c r="A148" s="758" t="s">
        <v>1064</v>
      </c>
      <c r="B148" s="758"/>
      <c r="C148" s="756" t="s">
        <v>1564</v>
      </c>
      <c r="D148" s="756" t="s">
        <v>954</v>
      </c>
      <c r="E148" s="756" t="s">
        <v>1066</v>
      </c>
      <c r="F148" s="756" t="s">
        <v>1565</v>
      </c>
      <c r="G148" s="756"/>
      <c r="H148" s="756"/>
      <c r="I148" s="875"/>
      <c r="J148" s="875"/>
      <c r="K148" s="875"/>
      <c r="L148" s="875"/>
      <c r="M148" s="808" t="str">
        <f>IF(TEMPLATE_SPHERE="HEAT",T148,IF(TEMPLATE_SPHERE="TKO",X148,U148))</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холодного водоснабжения</v>
      </c>
      <c r="N148" s="761"/>
      <c r="O148" s="756"/>
      <c r="P148" s="757"/>
      <c r="Q148" s="757"/>
      <c r="R148" s="757"/>
      <c r="S148" s="756"/>
      <c r="T148" s="756" t="s">
        <v>1566</v>
      </c>
      <c r="U148" s="757" t="str">
        <f>"Сведения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"&amp;TEMPLATE_SPHERE_RUS</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холодного водоснабжения</v>
      </c>
      <c r="V148" s="757"/>
      <c r="W148" s="757"/>
      <c r="X148" s="756" t="s">
        <v>1567</v>
      </c>
      <c r="Y148" s="910"/>
      <c r="Z148" s="759"/>
      <c r="AA148" s="762"/>
      <c r="AB148" s="759"/>
      <c r="AC148" s="759"/>
      <c r="AD148" s="759"/>
    </row>
    <row r="149" spans="1:30" ht="9" customHeight="1">
      <c r="A149" s="758"/>
      <c r="B149" s="758"/>
      <c r="C149" s="758"/>
      <c r="D149" s="758"/>
      <c r="E149" s="758"/>
      <c r="F149" s="758"/>
      <c r="G149" s="758"/>
      <c r="H149" s="758"/>
      <c r="I149" s="758"/>
      <c r="J149" s="758"/>
      <c r="K149" s="758"/>
      <c r="L149" s="758"/>
      <c r="M149" s="758"/>
      <c r="N149" s="758"/>
      <c r="O149" s="758"/>
      <c r="P149" s="758"/>
      <c r="Q149" s="758"/>
      <c r="R149" s="758"/>
      <c r="S149" s="758"/>
      <c r="T149" s="758"/>
      <c r="U149" s="758"/>
      <c r="V149" s="758"/>
      <c r="W149" s="758"/>
      <c r="X149" s="758"/>
      <c r="Y149" s="758"/>
      <c r="Z149" s="758"/>
      <c r="AA149" s="758"/>
      <c r="AB149" s="758"/>
      <c r="AC149" s="758"/>
      <c r="AD149" s="758"/>
    </row>
    <row r="150" spans="1:30" ht="9" customHeight="1">
      <c r="A150" s="758" t="s">
        <v>1070</v>
      </c>
      <c r="B150" s="758"/>
      <c r="C150" s="756"/>
      <c r="D150" s="756"/>
      <c r="E150" s="756"/>
      <c r="F150" s="756"/>
      <c r="G150" s="756"/>
      <c r="H150" s="756"/>
      <c r="I150" s="756"/>
      <c r="J150" s="756"/>
      <c r="K150" s="756"/>
      <c r="L150" s="756"/>
      <c r="M150" s="756"/>
      <c r="N150" s="756"/>
      <c r="O150" s="756"/>
      <c r="P150" s="756"/>
      <c r="Q150" s="756"/>
      <c r="R150" s="756"/>
      <c r="S150" s="756"/>
      <c r="T150" s="756"/>
      <c r="U150" s="756"/>
      <c r="V150" s="756"/>
      <c r="W150" s="756"/>
      <c r="X150" s="756"/>
      <c r="Y150" s="910"/>
      <c r="Z150" s="759"/>
      <c r="AA150" s="762"/>
      <c r="AB150" s="759"/>
      <c r="AC150" s="759"/>
      <c r="AD150" s="759"/>
    </row>
    <row r="151" spans="1:30" ht="9" customHeight="1">
      <c r="A151" s="758"/>
      <c r="B151" s="758"/>
      <c r="C151" s="758"/>
      <c r="D151" s="758"/>
      <c r="E151" s="758"/>
      <c r="F151" s="758"/>
      <c r="G151" s="758"/>
      <c r="H151" s="758"/>
      <c r="I151" s="758"/>
      <c r="J151" s="758"/>
      <c r="K151" s="758"/>
      <c r="L151" s="758"/>
      <c r="M151" s="758"/>
      <c r="N151" s="758"/>
      <c r="O151" s="758"/>
      <c r="P151" s="758"/>
      <c r="Q151" s="758"/>
      <c r="R151" s="758"/>
      <c r="S151" s="758"/>
      <c r="T151" s="758"/>
      <c r="U151" s="758"/>
      <c r="V151" s="758"/>
      <c r="W151" s="758"/>
      <c r="X151" s="758"/>
      <c r="Y151" s="758"/>
      <c r="Z151" s="758"/>
      <c r="AA151" s="758"/>
      <c r="AB151" s="758"/>
      <c r="AC151" s="758"/>
      <c r="AD151" s="758"/>
    </row>
    <row r="152" spans="1:30" ht="9" customHeight="1">
      <c r="A152" s="758" t="s">
        <v>1075</v>
      </c>
      <c r="B152" s="758"/>
      <c r="C152" s="756"/>
      <c r="D152" s="756"/>
      <c r="E152" s="756"/>
      <c r="F152" s="756"/>
      <c r="G152" s="756"/>
      <c r="H152" s="756"/>
      <c r="I152" s="756"/>
      <c r="J152" s="756"/>
      <c r="K152" s="756"/>
      <c r="L152" s="756"/>
      <c r="M152" s="756"/>
      <c r="N152" s="756"/>
      <c r="O152" s="756"/>
      <c r="P152" s="756"/>
      <c r="Q152" s="756"/>
      <c r="R152" s="756"/>
      <c r="S152" s="756"/>
      <c r="T152" s="756"/>
      <c r="U152" s="756"/>
      <c r="V152" s="756"/>
      <c r="W152" s="756"/>
      <c r="X152" s="756"/>
      <c r="Y152" s="910"/>
      <c r="Z152" s="759"/>
      <c r="AA152" s="762"/>
      <c r="AB152" s="759"/>
      <c r="AC152" s="759"/>
      <c r="AD152" s="759"/>
    </row>
    <row r="153" spans="1:30" ht="9" customHeight="1">
      <c r="A153" s="758"/>
      <c r="B153" s="758"/>
      <c r="C153" s="758"/>
      <c r="D153" s="758"/>
      <c r="E153" s="758"/>
      <c r="F153" s="758"/>
      <c r="G153" s="758"/>
      <c r="H153" s="758"/>
      <c r="I153" s="758"/>
      <c r="J153" s="758"/>
      <c r="K153" s="758"/>
      <c r="L153" s="758"/>
      <c r="M153" s="758"/>
      <c r="N153" s="758"/>
      <c r="O153" s="758"/>
      <c r="P153" s="758"/>
      <c r="Q153" s="758"/>
      <c r="R153" s="758"/>
      <c r="S153" s="758"/>
      <c r="T153" s="758"/>
      <c r="U153" s="758"/>
      <c r="V153" s="758"/>
      <c r="W153" s="758"/>
      <c r="X153" s="758"/>
      <c r="Y153" s="758"/>
      <c r="Z153" s="758"/>
      <c r="AA153" s="758"/>
      <c r="AB153" s="758"/>
      <c r="AC153" s="758"/>
      <c r="AD153" s="758"/>
    </row>
    <row r="154" spans="1:30" ht="9" customHeight="1">
      <c r="A154" s="758" t="s">
        <v>1080</v>
      </c>
      <c r="B154" s="758"/>
      <c r="C154" s="756"/>
      <c r="D154" s="756"/>
      <c r="E154" s="756"/>
      <c r="F154" s="756"/>
      <c r="G154" s="756"/>
      <c r="H154" s="756"/>
      <c r="I154" s="756"/>
      <c r="J154" s="756"/>
      <c r="K154" s="756"/>
      <c r="L154" s="756"/>
      <c r="M154" s="756"/>
      <c r="N154" s="756"/>
      <c r="O154" s="756"/>
      <c r="P154" s="756"/>
      <c r="Q154" s="756"/>
      <c r="R154" s="756"/>
      <c r="S154" s="756"/>
      <c r="T154" s="756"/>
      <c r="U154" s="756"/>
      <c r="V154" s="756"/>
      <c r="W154" s="756"/>
      <c r="X154" s="756"/>
      <c r="Y154" s="910"/>
      <c r="Z154" s="759"/>
      <c r="AA154" s="762"/>
      <c r="AB154" s="759"/>
      <c r="AC154" s="759"/>
      <c r="AD154" s="759"/>
    </row>
  </sheetData>
  <sheetProtection insertRows="0" deleteColumns="0" deleteRows="0" sort="0" autoFilter="0"/>
  <mergeCells count="12">
    <mergeCell ref="T1:X1"/>
    <mergeCell ref="Z1:AD1"/>
    <mergeCell ref="A11:A15"/>
    <mergeCell ref="H13:H14"/>
    <mergeCell ref="H15:H16"/>
    <mergeCell ref="C3:F3"/>
    <mergeCell ref="C11:C16"/>
    <mergeCell ref="D11:D16"/>
    <mergeCell ref="E11:E16"/>
    <mergeCell ref="F11:F16"/>
    <mergeCell ref="G11:G16"/>
    <mergeCell ref="O1:S1"/>
  </mergeCells>
  <pageMargins left="0.7" right="0.7" top="0.75" bottom="0.75" header="0.3" footer="0.3"/>
  <pageSetup paperSize="9" orientation="portrait"/>
  <headerFooter>
    <oddHeader>&amp;L&amp;C&amp;R</oddHeader>
    <oddFooter>&amp;L&amp;C&amp;R</oddFooter>
    <evenHeader>&amp;L&amp;C&amp;R</evenHeader>
    <evenFooter>&amp;L&amp;C&amp;R</evenFooter>
  </headerFooter>
  <legacyDrawing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AC40"/>
  <sheetViews>
    <sheetView showGridLines="0" topLeftCell="I4" workbookViewId="0"/>
  </sheetViews>
  <sheetFormatPr defaultColWidth="10.5703125" defaultRowHeight="14.25" customHeight="1"/>
  <cols>
    <col min="1" max="1" width="10.5703125" style="1284" hidden="1"/>
    <col min="2" max="2" width="11" style="1284" hidden="1" customWidth="1"/>
    <col min="3" max="3" width="10.5703125" style="1284" hidden="1"/>
    <col min="4" max="4" width="11.85546875" style="1284" hidden="1" customWidth="1"/>
    <col min="5" max="5" width="12.28515625" style="1284" hidden="1" customWidth="1"/>
    <col min="6" max="8" width="12.28515625" style="1696" hidden="1" customWidth="1"/>
    <col min="9" max="9" width="3.7109375" style="1803" customWidth="1"/>
    <col min="10" max="11" width="3.7109375" style="265" customWidth="1"/>
    <col min="12" max="12" width="12.7109375" style="1806" customWidth="1"/>
    <col min="13" max="13" width="32" style="1552" customWidth="1"/>
    <col min="14" max="14" width="1.7109375" style="1552" customWidth="1"/>
    <col min="15" max="18" width="24.7109375" style="1552" customWidth="1"/>
    <col min="19" max="19" width="11.7109375" style="1552" customWidth="1"/>
    <col min="20" max="20" width="3.7109375" style="1552" customWidth="1"/>
    <col min="21" max="21" width="11.7109375" style="1552" customWidth="1"/>
    <col min="22" max="22" width="8.5703125" style="1552" customWidth="1"/>
    <col min="23" max="23" width="4.7109375" style="1552" customWidth="1"/>
    <col min="24" max="24" width="115.7109375" style="1552" customWidth="1"/>
    <col min="25" max="26" width="10.5703125" style="1559"/>
    <col min="27" max="27" width="11.140625" style="1559" customWidth="1"/>
    <col min="28" max="29" width="10.5703125" style="1559"/>
  </cols>
  <sheetData>
    <row r="1" spans="1:29" ht="14.25" hidden="1" customHeight="1">
      <c r="R1" s="249"/>
      <c r="S1" s="249"/>
    </row>
    <row r="2" spans="1:29" ht="14.25" hidden="1" customHeight="1">
      <c r="V2" s="249"/>
    </row>
    <row r="3" spans="1:29" ht="14.25" hidden="1" customHeight="1"/>
    <row r="4" spans="1:29" ht="14.25" customHeight="1">
      <c r="J4" s="300"/>
      <c r="K4" s="300"/>
      <c r="L4" s="1197"/>
      <c r="M4" s="286"/>
      <c r="N4" s="286"/>
      <c r="O4" s="435"/>
      <c r="P4" s="435"/>
      <c r="Q4" s="435"/>
      <c r="R4" s="435"/>
      <c r="S4" s="435"/>
      <c r="T4" s="435"/>
      <c r="U4" s="435"/>
      <c r="V4" s="435"/>
    </row>
    <row r="5" spans="1:29" ht="64.5" customHeight="1">
      <c r="J5" s="300"/>
      <c r="K5" s="300"/>
      <c r="L5" s="1927" t="s">
        <v>1568</v>
      </c>
      <c r="M5" s="1927"/>
      <c r="N5" s="1927"/>
      <c r="O5" s="1927"/>
      <c r="P5" s="1927"/>
      <c r="Q5" s="1927"/>
      <c r="R5" s="1927"/>
      <c r="S5" s="1927"/>
      <c r="T5" s="1927"/>
      <c r="U5" s="1927"/>
      <c r="V5" s="1154"/>
    </row>
    <row r="6" spans="1:29" ht="14.25" customHeight="1">
      <c r="J6" s="300"/>
      <c r="K6" s="300"/>
      <c r="L6" s="1950" t="str">
        <f>IF(org=0,"Не определено",org)</f>
        <v>АО СЗ "КМАпроектжилстрой"</v>
      </c>
      <c r="M6" s="1950"/>
      <c r="N6" s="1950"/>
      <c r="O6" s="1950"/>
      <c r="P6" s="1950"/>
      <c r="Q6" s="1950"/>
      <c r="R6" s="1950"/>
      <c r="S6" s="1950"/>
      <c r="T6" s="1950"/>
      <c r="U6" s="1950"/>
      <c r="V6" s="1154"/>
    </row>
    <row r="7" spans="1:29" ht="14.25" customHeight="1">
      <c r="J7" s="300"/>
      <c r="K7" s="300"/>
      <c r="L7" s="1197"/>
      <c r="M7" s="286"/>
      <c r="N7" s="286"/>
      <c r="O7" s="242"/>
      <c r="P7" s="242"/>
      <c r="Q7" s="242"/>
      <c r="R7" s="242"/>
      <c r="S7" s="242"/>
      <c r="T7" s="242"/>
      <c r="U7" s="242"/>
      <c r="V7" s="242"/>
      <c r="W7" s="435"/>
    </row>
    <row r="8" spans="1:29" s="1773" customFormat="1" ht="45" customHeight="1">
      <c r="A8" s="1286"/>
      <c r="B8" s="1286"/>
      <c r="C8" s="1286"/>
      <c r="D8" s="1286"/>
      <c r="E8" s="1286"/>
      <c r="F8" s="1286"/>
      <c r="G8" s="1286"/>
      <c r="H8" s="1286"/>
      <c r="L8" s="1198"/>
      <c r="M8" s="209" t="s">
        <v>40</v>
      </c>
      <c r="N8" s="218"/>
      <c r="O8" s="2069" t="str">
        <f>IF(TITLE_NAME_OR_PR_CHANGE="",IF(TITLE_NAME_OR_PR="","",TITLE_NAME_OR_PR),TITLE_NAME_OR_PR_CHANGE)</f>
        <v/>
      </c>
      <c r="P8" s="2069"/>
      <c r="Q8" s="2069"/>
      <c r="R8" s="2069"/>
      <c r="S8" s="2069"/>
      <c r="T8" s="2069"/>
      <c r="U8" s="2069"/>
      <c r="V8" s="248"/>
      <c r="W8" s="248"/>
      <c r="X8" s="196"/>
      <c r="Y8" s="292"/>
      <c r="Z8" s="292"/>
      <c r="AA8" s="292"/>
      <c r="AB8" s="292"/>
      <c r="AC8" s="292"/>
    </row>
    <row r="9" spans="1:29" s="1773" customFormat="1" ht="22.5" customHeight="1">
      <c r="A9" s="1286"/>
      <c r="B9" s="1286"/>
      <c r="C9" s="1286"/>
      <c r="D9" s="1286"/>
      <c r="E9" s="1286"/>
      <c r="F9" s="1286"/>
      <c r="G9" s="1286"/>
      <c r="H9" s="1286"/>
      <c r="L9" s="1198"/>
      <c r="M9" s="209" t="s">
        <v>483</v>
      </c>
      <c r="N9" s="218"/>
      <c r="O9" s="2069" t="str">
        <f>IF(TITLE_DATE_CHANGE_PERIOD="",IF(TITLE_DATE_PR="","",TITLE_DATE_PR),TITLE_DATE_CHANGE_PERIOD)</f>
        <v/>
      </c>
      <c r="P9" s="2069"/>
      <c r="Q9" s="2069"/>
      <c r="R9" s="2069"/>
      <c r="S9" s="2069"/>
      <c r="T9" s="2069"/>
      <c r="U9" s="2069"/>
      <c r="V9" s="248"/>
      <c r="W9" s="248"/>
      <c r="X9" s="196"/>
      <c r="Y9" s="292"/>
      <c r="Z9" s="292"/>
      <c r="AA9" s="292"/>
      <c r="AB9" s="292"/>
      <c r="AC9" s="292"/>
    </row>
    <row r="10" spans="1:29" s="1773" customFormat="1" ht="22.5" customHeight="1">
      <c r="A10" s="1286"/>
      <c r="B10" s="1286"/>
      <c r="C10" s="1286"/>
      <c r="D10" s="1286"/>
      <c r="E10" s="1286"/>
      <c r="F10" s="1286"/>
      <c r="G10" s="1286"/>
      <c r="H10" s="1286"/>
      <c r="L10" s="1162"/>
      <c r="M10" s="209" t="s">
        <v>484</v>
      </c>
      <c r="N10" s="218"/>
      <c r="O10" s="2069" t="str">
        <f>IF(TITLE_NUMBER_PR_CHANGE="",IF(TITLE_NUMBER_PR="","",TITLE_NUMBER_PR),TITLE_NUMBER_PR_CHANGE)</f>
        <v/>
      </c>
      <c r="P10" s="2069"/>
      <c r="Q10" s="2069"/>
      <c r="R10" s="2069"/>
      <c r="S10" s="2069"/>
      <c r="T10" s="2069"/>
      <c r="U10" s="2069"/>
      <c r="V10" s="248"/>
      <c r="W10" s="248"/>
      <c r="X10" s="196"/>
      <c r="Y10" s="292"/>
      <c r="Z10" s="292"/>
      <c r="AA10" s="292"/>
      <c r="AB10" s="292"/>
      <c r="AC10" s="292"/>
    </row>
    <row r="11" spans="1:29" s="1773" customFormat="1" ht="22.5" customHeight="1">
      <c r="A11" s="1286"/>
      <c r="B11" s="1286"/>
      <c r="C11" s="1286"/>
      <c r="D11" s="1286"/>
      <c r="E11" s="1286"/>
      <c r="F11" s="1286"/>
      <c r="G11" s="1286"/>
      <c r="H11" s="1286"/>
      <c r="L11" s="1162"/>
      <c r="M11" s="209" t="s">
        <v>41</v>
      </c>
      <c r="N11" s="218"/>
      <c r="O11" s="2069" t="str">
        <f>IF(TITLE_IST_PUB_CHANGE="",IF(TITLE_IST_PUB="","",TITLE_IST_PUB),TITLE_IST_PUB_CHANGE)</f>
        <v/>
      </c>
      <c r="P11" s="2069"/>
      <c r="Q11" s="2069"/>
      <c r="R11" s="2069"/>
      <c r="S11" s="2069"/>
      <c r="T11" s="2069"/>
      <c r="U11" s="2069"/>
      <c r="V11" s="248"/>
      <c r="W11" s="248"/>
      <c r="X11" s="196"/>
      <c r="Y11" s="292"/>
      <c r="Z11" s="292"/>
      <c r="AA11" s="292"/>
      <c r="AB11" s="292"/>
      <c r="AC11" s="292"/>
    </row>
    <row r="12" spans="1:29" s="1773" customFormat="1" ht="11.25" hidden="1" customHeight="1">
      <c r="A12" s="1286"/>
      <c r="B12" s="1286"/>
      <c r="C12" s="1286"/>
      <c r="D12" s="1286"/>
      <c r="E12" s="1286"/>
      <c r="F12" s="1286"/>
      <c r="G12" s="1286"/>
      <c r="H12" s="1286"/>
      <c r="L12" s="2151"/>
      <c r="M12" s="2151"/>
      <c r="N12" s="1208"/>
      <c r="O12" s="248"/>
      <c r="P12" s="248"/>
      <c r="Q12" s="248"/>
      <c r="R12" s="248"/>
      <c r="S12" s="248"/>
      <c r="T12" s="248"/>
      <c r="U12" s="248"/>
      <c r="V12" s="194" t="s">
        <v>487</v>
      </c>
      <c r="Y12" s="292"/>
      <c r="Z12" s="292"/>
      <c r="AA12" s="292"/>
      <c r="AB12" s="292"/>
      <c r="AC12" s="292"/>
    </row>
    <row r="13" spans="1:29" ht="14.25" customHeight="1">
      <c r="J13" s="300"/>
      <c r="K13" s="300"/>
      <c r="L13" s="1197"/>
      <c r="M13" s="286"/>
      <c r="N13" s="1155"/>
      <c r="O13" s="2087"/>
      <c r="P13" s="2087"/>
      <c r="Q13" s="2087"/>
      <c r="R13" s="2087"/>
      <c r="S13" s="2087"/>
      <c r="T13" s="2087"/>
      <c r="U13" s="2087"/>
      <c r="V13" s="2087"/>
    </row>
    <row r="14" spans="1:29" ht="14.25" customHeight="1">
      <c r="J14" s="300"/>
      <c r="K14" s="300"/>
      <c r="L14" s="1874" t="s">
        <v>291</v>
      </c>
      <c r="M14" s="1874"/>
      <c r="N14" s="1874"/>
      <c r="O14" s="1874"/>
      <c r="P14" s="1874"/>
      <c r="Q14" s="1874"/>
      <c r="R14" s="1874"/>
      <c r="S14" s="1874"/>
      <c r="T14" s="1874"/>
      <c r="U14" s="1874"/>
      <c r="V14" s="1874"/>
      <c r="W14" s="1874"/>
      <c r="X14" s="1874" t="s">
        <v>292</v>
      </c>
    </row>
    <row r="15" spans="1:29" ht="14.25" customHeight="1">
      <c r="J15" s="300"/>
      <c r="K15" s="300"/>
      <c r="L15" s="2088" t="s">
        <v>88</v>
      </c>
      <c r="M15" s="1959" t="s">
        <v>488</v>
      </c>
      <c r="N15" s="215"/>
      <c r="O15" s="2089" t="s">
        <v>1569</v>
      </c>
      <c r="P15" s="2090"/>
      <c r="Q15" s="2090"/>
      <c r="R15" s="2090"/>
      <c r="S15" s="2090"/>
      <c r="T15" s="2090"/>
      <c r="U15" s="2091"/>
      <c r="V15" s="2092" t="s">
        <v>490</v>
      </c>
      <c r="W15" s="2095" t="s">
        <v>1570</v>
      </c>
      <c r="X15" s="1874"/>
    </row>
    <row r="16" spans="1:29" ht="33.75" customHeight="1">
      <c r="J16" s="300"/>
      <c r="K16" s="300"/>
      <c r="L16" s="2088"/>
      <c r="M16" s="1959"/>
      <c r="N16" s="939"/>
      <c r="O16" s="1928" t="s">
        <v>493</v>
      </c>
      <c r="P16" s="1928" t="s">
        <v>494</v>
      </c>
      <c r="Q16" s="1856" t="s">
        <v>495</v>
      </c>
      <c r="R16" s="1855"/>
      <c r="S16" s="1856" t="s">
        <v>514</v>
      </c>
      <c r="T16" s="1861"/>
      <c r="U16" s="1855"/>
      <c r="V16" s="2093"/>
      <c r="W16" s="2096"/>
      <c r="X16" s="1874"/>
    </row>
    <row r="17" spans="1:29" ht="33.75" customHeight="1">
      <c r="A17" s="1288" t="s">
        <v>139</v>
      </c>
      <c r="B17" s="1288" t="s">
        <v>140</v>
      </c>
      <c r="C17" s="1288" t="s">
        <v>141</v>
      </c>
      <c r="D17" s="1288" t="s">
        <v>142</v>
      </c>
      <c r="E17" s="1288"/>
      <c r="J17" s="300"/>
      <c r="K17" s="300"/>
      <c r="L17" s="2088"/>
      <c r="M17" s="1959"/>
      <c r="N17" s="216"/>
      <c r="O17" s="1984"/>
      <c r="P17" s="1984"/>
      <c r="Q17" s="1130" t="s">
        <v>504</v>
      </c>
      <c r="R17" s="1130" t="s">
        <v>505</v>
      </c>
      <c r="S17" s="1213" t="s">
        <v>506</v>
      </c>
      <c r="T17" s="1965" t="s">
        <v>507</v>
      </c>
      <c r="U17" s="1979"/>
      <c r="V17" s="2094"/>
      <c r="W17" s="2097"/>
      <c r="X17" s="1874"/>
    </row>
    <row r="18" spans="1:29" s="1558" customFormat="1" ht="11.25" customHeight="1">
      <c r="A18" s="1288"/>
      <c r="B18" s="1288"/>
      <c r="C18" s="1288"/>
      <c r="D18" s="1288"/>
      <c r="E18" s="1288"/>
      <c r="F18" s="1280"/>
      <c r="G18" s="1280"/>
      <c r="H18" s="1280"/>
      <c r="I18" s="1157"/>
      <c r="J18" s="1158"/>
      <c r="K18" s="1173">
        <v>1</v>
      </c>
      <c r="L18" s="1199" t="s">
        <v>109</v>
      </c>
      <c r="M18" s="1174" t="s">
        <v>110</v>
      </c>
      <c r="N18" s="1156" t="str">
        <f ca="1">OFFSET(N18,0,-1)</f>
        <v>2</v>
      </c>
      <c r="O18" s="1210">
        <f ca="1">OFFSET(O18,0,-1)+1</f>
        <v>3</v>
      </c>
      <c r="P18" s="1210"/>
      <c r="Q18" s="1210">
        <f ca="1">OFFSET(Q18,0,-1)+1</f>
        <v>1</v>
      </c>
      <c r="R18" s="1210">
        <f ca="1">OFFSET(R18,0,-1)+1</f>
        <v>2</v>
      </c>
      <c r="S18" s="1210">
        <f ca="1">OFFSET(S18,0,-1)+1</f>
        <v>3</v>
      </c>
      <c r="T18" s="2086">
        <f ca="1">OFFSET(T18,0,-1)+1</f>
        <v>4</v>
      </c>
      <c r="U18" s="2086"/>
      <c r="V18" s="1210">
        <f ca="1">OFFSET(V18,0,-2)+1</f>
        <v>5</v>
      </c>
      <c r="W18" s="1156">
        <f ca="1">OFFSET(W18,0,-1)</f>
        <v>5</v>
      </c>
      <c r="X18" s="1210">
        <f ca="1">OFFSET(X18,0,-1)+1</f>
        <v>6</v>
      </c>
      <c r="Y18" s="437"/>
      <c r="Z18" s="437"/>
      <c r="AA18" s="437"/>
      <c r="AB18" s="437"/>
      <c r="AC18" s="437"/>
    </row>
    <row r="19" spans="1:29" ht="21" customHeight="1">
      <c r="A19" s="1281" t="s">
        <v>173</v>
      </c>
      <c r="B19" s="1281" t="s">
        <v>174</v>
      </c>
      <c r="C19" s="1281" t="s">
        <v>175</v>
      </c>
      <c r="D19" s="1281" t="s">
        <v>176</v>
      </c>
      <c r="E19" s="1281"/>
      <c r="F19" s="1283"/>
      <c r="G19" s="1283"/>
      <c r="H19" s="1283"/>
      <c r="I19" s="282"/>
      <c r="J19" s="281"/>
      <c r="K19" s="276"/>
      <c r="L19" s="1214">
        <f>INDEX(PT_DIFFERENTIATION_NUM_NTAR,MATCH(A19,PT_DIFFERENTIATION_NTAR_ID,0))</f>
        <v>0</v>
      </c>
      <c r="M19" s="212" t="s">
        <v>128</v>
      </c>
      <c r="N19" s="214"/>
      <c r="O19" s="2146" t="str">
        <f>INDEX(PT_DIFFERENTIATION_NTAR,MATCH(A19,PT_DIFFERENTIATION_NTAR_ID,0))</f>
        <v/>
      </c>
      <c r="P19" s="2146"/>
      <c r="Q19" s="2146"/>
      <c r="R19" s="2146"/>
      <c r="S19" s="2146"/>
      <c r="T19" s="2146"/>
      <c r="U19" s="2146"/>
      <c r="V19" s="2146"/>
      <c r="W19" s="2146"/>
      <c r="X19" s="1179" t="s">
        <v>459</v>
      </c>
      <c r="Z19" s="426"/>
      <c r="AA19" s="426" t="str">
        <f t="shared" ref="AA19:AA32" si="0">IF(M19="","",M19)</f>
        <v>Наименование тарифа</v>
      </c>
      <c r="AB19" s="426"/>
      <c r="AC19" s="426"/>
    </row>
    <row r="20" spans="1:29" ht="21" customHeight="1">
      <c r="A20" s="1281" t="s">
        <v>173</v>
      </c>
      <c r="B20" s="1281" t="s">
        <v>174</v>
      </c>
      <c r="C20" s="1281" t="s">
        <v>175</v>
      </c>
      <c r="D20" s="1281" t="s">
        <v>176</v>
      </c>
      <c r="E20" s="1281"/>
      <c r="F20" s="1283"/>
      <c r="G20" s="1283"/>
      <c r="H20" s="1283"/>
      <c r="I20" s="1211"/>
      <c r="J20" s="273"/>
      <c r="K20" s="274"/>
      <c r="L20" s="1214" t="str">
        <f>INDEX(PT_DIFFERENTIATION_NUM_TER,MATCH(B19,PT_DIFFERENTIATION_TER_ID,0))</f>
        <v>.</v>
      </c>
      <c r="M20" s="224" t="s">
        <v>460</v>
      </c>
      <c r="N20" s="214"/>
      <c r="O20" s="2146" t="str">
        <f>INDEX(PT_DIFFERENTIATION_TER,MATCH(B19,PT_DIFFERENTIATION_TER_ID,0))</f>
        <v/>
      </c>
      <c r="P20" s="2146"/>
      <c r="Q20" s="2146"/>
      <c r="R20" s="2146"/>
      <c r="S20" s="2146"/>
      <c r="T20" s="2146"/>
      <c r="U20" s="2146"/>
      <c r="V20" s="2146"/>
      <c r="W20" s="2146"/>
      <c r="X20" s="1179" t="s">
        <v>461</v>
      </c>
      <c r="Z20" s="426"/>
      <c r="AA20" s="426" t="str">
        <f t="shared" si="0"/>
        <v>Территория действия тарифа</v>
      </c>
      <c r="AB20" s="426"/>
      <c r="AC20" s="426"/>
    </row>
    <row r="21" spans="1:29" ht="22.5" customHeight="1">
      <c r="A21" s="1281" t="s">
        <v>173</v>
      </c>
      <c r="B21" s="1281" t="s">
        <v>174</v>
      </c>
      <c r="C21" s="1281" t="s">
        <v>175</v>
      </c>
      <c r="D21" s="1281" t="s">
        <v>176</v>
      </c>
      <c r="E21" s="1281"/>
      <c r="F21" s="1283"/>
      <c r="G21" s="1283"/>
      <c r="H21" s="1283"/>
      <c r="I21" s="275"/>
      <c r="J21" s="273"/>
      <c r="K21" s="274"/>
      <c r="L21" s="1214" t="str">
        <f>INDEX(PT_DIFFERENTIATION_NUM_CS,MATCH(C19,PT_DIFFERENTIATION_CS_ID,0))</f>
        <v>..</v>
      </c>
      <c r="M21" s="225" t="s">
        <v>462</v>
      </c>
      <c r="N21" s="214"/>
      <c r="O21" s="2146" t="str">
        <f>INDEX(PT_DIFFERENTIATION_CS,MATCH(C19,PT_DIFFERENTIATION_CS_ID,0))</f>
        <v/>
      </c>
      <c r="P21" s="2146"/>
      <c r="Q21" s="2146"/>
      <c r="R21" s="2146"/>
      <c r="S21" s="2146"/>
      <c r="T21" s="2146"/>
      <c r="U21" s="2146"/>
      <c r="V21" s="2146"/>
      <c r="W21" s="2146"/>
      <c r="X21" s="1179" t="s">
        <v>463</v>
      </c>
      <c r="Z21" s="426"/>
      <c r="AA21" s="426" t="str">
        <f t="shared" si="0"/>
        <v xml:space="preserve">Наименование системы теплоснабжения </v>
      </c>
      <c r="AB21" s="426"/>
      <c r="AC21" s="426"/>
    </row>
    <row r="22" spans="1:29" ht="21" customHeight="1">
      <c r="A22" s="1281" t="s">
        <v>173</v>
      </c>
      <c r="B22" s="1281" t="s">
        <v>174</v>
      </c>
      <c r="C22" s="1281" t="s">
        <v>175</v>
      </c>
      <c r="D22" s="1281" t="s">
        <v>176</v>
      </c>
      <c r="E22" s="1281"/>
      <c r="F22" s="1283"/>
      <c r="G22" s="1283"/>
      <c r="H22" s="1283"/>
      <c r="I22" s="275"/>
      <c r="J22" s="273"/>
      <c r="K22" s="274"/>
      <c r="L22" s="1214" t="str">
        <f>INDEX(PT_DIFFERENTIATION_NUM_IST_TE,MATCH(D19,PT_DIFFERENTIATION_IST_TE_ID,0))</f>
        <v>...</v>
      </c>
      <c r="M22" s="226" t="s">
        <v>464</v>
      </c>
      <c r="N22" s="214"/>
      <c r="O22" s="2146" t="str">
        <f>INDEX(PT_DIFFERENTIATION_IST_TE,MATCH(D19,PT_DIFFERENTIATION_IST_TE_ID,0))</f>
        <v/>
      </c>
      <c r="P22" s="2146"/>
      <c r="Q22" s="2146"/>
      <c r="R22" s="2146"/>
      <c r="S22" s="2146"/>
      <c r="T22" s="2146"/>
      <c r="U22" s="2146"/>
      <c r="V22" s="2146"/>
      <c r="W22" s="2146"/>
      <c r="X22" s="1179" t="s">
        <v>465</v>
      </c>
      <c r="Z22" s="426"/>
      <c r="AA22" s="426" t="str">
        <f t="shared" si="0"/>
        <v xml:space="preserve">Источник тепловой энергии  </v>
      </c>
      <c r="AB22" s="426"/>
      <c r="AC22" s="426"/>
    </row>
    <row r="23" spans="1:29" ht="94.5" customHeight="1">
      <c r="A23" s="1281" t="s">
        <v>173</v>
      </c>
      <c r="B23" s="1281" t="s">
        <v>174</v>
      </c>
      <c r="C23" s="1281" t="s">
        <v>175</v>
      </c>
      <c r="D23" s="1281" t="s">
        <v>176</v>
      </c>
      <c r="E23" s="1281"/>
      <c r="F23" s="1977" t="str">
        <f>L22&amp;".1"</f>
        <v>....1</v>
      </c>
      <c r="I23" s="1995">
        <v>1</v>
      </c>
      <c r="J23" s="1212"/>
      <c r="K23" s="277"/>
      <c r="L23" s="1214" t="str">
        <f>$F$23</f>
        <v>....1</v>
      </c>
      <c r="M23" s="200" t="s">
        <v>467</v>
      </c>
      <c r="N23" s="214"/>
      <c r="O23" s="2147"/>
      <c r="P23" s="2147"/>
      <c r="Q23" s="2147"/>
      <c r="R23" s="2147"/>
      <c r="S23" s="2147"/>
      <c r="T23" s="2147"/>
      <c r="U23" s="2147"/>
      <c r="V23" s="2147"/>
      <c r="W23" s="2147"/>
      <c r="X23" s="1179" t="s">
        <v>468</v>
      </c>
      <c r="Z23" s="426"/>
      <c r="AA23" s="426" t="str">
        <f t="shared" si="0"/>
        <v>Схема подключения теплопотребляющей установки к коллектору источника тепловой энергии</v>
      </c>
      <c r="AB23" s="426"/>
      <c r="AC23" s="426"/>
    </row>
    <row r="24" spans="1:29" ht="84" customHeight="1">
      <c r="A24" s="1281" t="s">
        <v>173</v>
      </c>
      <c r="B24" s="1281" t="s">
        <v>174</v>
      </c>
      <c r="C24" s="1281" t="s">
        <v>175</v>
      </c>
      <c r="D24" s="1281" t="s">
        <v>176</v>
      </c>
      <c r="E24" s="1281"/>
      <c r="F24" s="1977"/>
      <c r="G24" s="1977" t="str">
        <f>F23&amp;".1"</f>
        <v>....1.1</v>
      </c>
      <c r="I24" s="1995"/>
      <c r="J24" s="1995">
        <v>1</v>
      </c>
      <c r="K24" s="278"/>
      <c r="L24" s="1214" t="str">
        <f>$G$24</f>
        <v>....1.1</v>
      </c>
      <c r="M24" s="201" t="s">
        <v>470</v>
      </c>
      <c r="N24" s="214"/>
      <c r="O24" s="2148"/>
      <c r="P24" s="2149"/>
      <c r="Q24" s="2149"/>
      <c r="R24" s="2149"/>
      <c r="S24" s="2149"/>
      <c r="T24" s="2149"/>
      <c r="U24" s="2149"/>
      <c r="V24" s="2149"/>
      <c r="W24" s="2150"/>
      <c r="X24" s="1179" t="s">
        <v>471</v>
      </c>
      <c r="Z24" s="426"/>
      <c r="AA24" s="426" t="str">
        <f t="shared" si="0"/>
        <v>Группа потребителей</v>
      </c>
      <c r="AB24" s="426"/>
      <c r="AC24" s="426"/>
    </row>
    <row r="25" spans="1:29" ht="11.25" customHeight="1">
      <c r="A25" s="1281" t="s">
        <v>173</v>
      </c>
      <c r="B25" s="1281" t="s">
        <v>174</v>
      </c>
      <c r="C25" s="1281" t="s">
        <v>175</v>
      </c>
      <c r="D25" s="1281" t="s">
        <v>176</v>
      </c>
      <c r="E25" s="1281"/>
      <c r="F25" s="1977"/>
      <c r="G25" s="1977"/>
      <c r="H25" s="1977" t="str">
        <f>G24&amp;".1"</f>
        <v>....1.1.1</v>
      </c>
      <c r="I25" s="1995"/>
      <c r="J25" s="1995"/>
      <c r="K25" s="278">
        <v>1</v>
      </c>
      <c r="L25" s="1214" t="str">
        <f>$H$25</f>
        <v>....1.1.1</v>
      </c>
      <c r="M25" s="1180"/>
      <c r="N25" s="214"/>
      <c r="O25" s="664"/>
      <c r="P25" s="246"/>
      <c r="Q25" s="664"/>
      <c r="R25" s="1178"/>
      <c r="S25" s="2080"/>
      <c r="T25" s="1885" t="s">
        <v>59</v>
      </c>
      <c r="U25" s="2080"/>
      <c r="V25" s="1885" t="s">
        <v>57</v>
      </c>
      <c r="W25" s="246"/>
      <c r="X25" s="2098" t="s">
        <v>473</v>
      </c>
      <c r="Y25" s="437" t="e">
        <f ca="1">STRCHECKDATE(O26:W26)</f>
        <v>#NAME?</v>
      </c>
      <c r="Z25" s="426"/>
      <c r="AA25" s="426" t="str">
        <f t="shared" si="0"/>
        <v/>
      </c>
      <c r="AB25" s="426"/>
      <c r="AC25" s="426"/>
    </row>
    <row r="26" spans="1:29" ht="11.25" customHeight="1">
      <c r="A26" s="1281" t="s">
        <v>173</v>
      </c>
      <c r="B26" s="1281" t="s">
        <v>174</v>
      </c>
      <c r="C26" s="1281" t="s">
        <v>175</v>
      </c>
      <c r="D26" s="1281" t="s">
        <v>176</v>
      </c>
      <c r="E26" s="1281"/>
      <c r="F26" s="1977"/>
      <c r="G26" s="1977"/>
      <c r="H26" s="1977"/>
      <c r="I26" s="1995"/>
      <c r="J26" s="1995"/>
      <c r="K26" s="278"/>
      <c r="L26" s="1215"/>
      <c r="M26" s="214"/>
      <c r="N26" s="214"/>
      <c r="O26" s="246"/>
      <c r="P26" s="246"/>
      <c r="Q26" s="246"/>
      <c r="R26" s="250" t="str">
        <f>S25&amp;"-"&amp;U25</f>
        <v>-</v>
      </c>
      <c r="S26" s="2081"/>
      <c r="T26" s="1885"/>
      <c r="U26" s="2081"/>
      <c r="V26" s="1885"/>
      <c r="W26" s="246"/>
      <c r="X26" s="2099"/>
      <c r="Z26" s="426"/>
      <c r="AA26" s="426" t="str">
        <f t="shared" si="0"/>
        <v/>
      </c>
      <c r="AB26" s="426"/>
      <c r="AC26" s="426"/>
    </row>
    <row r="27" spans="1:29" ht="15" customHeight="1">
      <c r="A27" s="1281" t="s">
        <v>173</v>
      </c>
      <c r="B27" s="1281" t="s">
        <v>174</v>
      </c>
      <c r="C27" s="1281" t="s">
        <v>175</v>
      </c>
      <c r="D27" s="1281" t="s">
        <v>176</v>
      </c>
      <c r="E27" s="1281"/>
      <c r="F27" s="1977"/>
      <c r="G27" s="1977"/>
      <c r="I27" s="1995"/>
      <c r="J27" s="1995"/>
      <c r="K27" s="277"/>
      <c r="L27" s="1200"/>
      <c r="M27" s="203" t="s">
        <v>474</v>
      </c>
      <c r="N27" s="291"/>
      <c r="O27" s="291"/>
      <c r="P27" s="291"/>
      <c r="Q27" s="291"/>
      <c r="R27" s="291"/>
      <c r="S27" s="291"/>
      <c r="T27" s="291"/>
      <c r="U27" s="291"/>
      <c r="V27" s="291"/>
      <c r="W27" s="245"/>
      <c r="X27" s="2100"/>
      <c r="Z27" s="426"/>
      <c r="AA27" s="426" t="str">
        <f t="shared" si="0"/>
        <v>Добавить вид теплоносителя (параметры теплоносителя)</v>
      </c>
      <c r="AB27" s="426"/>
      <c r="AC27" s="426"/>
    </row>
    <row r="28" spans="1:29" ht="15" customHeight="1">
      <c r="A28" s="1281" t="s">
        <v>173</v>
      </c>
      <c r="B28" s="1281" t="s">
        <v>174</v>
      </c>
      <c r="C28" s="1281" t="s">
        <v>175</v>
      </c>
      <c r="D28" s="1281" t="s">
        <v>176</v>
      </c>
      <c r="E28" s="1281"/>
      <c r="F28" s="1977"/>
      <c r="I28" s="1995"/>
      <c r="J28" s="1212"/>
      <c r="K28" s="277"/>
      <c r="L28" s="1200"/>
      <c r="M28" s="202" t="s">
        <v>475</v>
      </c>
      <c r="N28" s="291"/>
      <c r="O28" s="291"/>
      <c r="P28" s="291"/>
      <c r="Q28" s="291"/>
      <c r="R28" s="291"/>
      <c r="S28" s="291"/>
      <c r="T28" s="291"/>
      <c r="U28" s="291"/>
      <c r="V28" s="290"/>
      <c r="W28" s="291"/>
      <c r="X28" s="217"/>
      <c r="Z28" s="426"/>
      <c r="AA28" s="426" t="str">
        <f t="shared" si="0"/>
        <v>Добавить группу потребителей</v>
      </c>
      <c r="AB28" s="426"/>
      <c r="AC28" s="426"/>
    </row>
    <row r="29" spans="1:29" ht="14.25" customHeight="1">
      <c r="A29" s="1281" t="s">
        <v>173</v>
      </c>
      <c r="B29" s="1281" t="s">
        <v>174</v>
      </c>
      <c r="C29" s="1281" t="s">
        <v>175</v>
      </c>
      <c r="D29" s="1281" t="s">
        <v>176</v>
      </c>
      <c r="E29" s="1281"/>
      <c r="F29" s="1283"/>
      <c r="G29" s="1283"/>
      <c r="H29" s="462"/>
      <c r="I29" s="281"/>
      <c r="J29" s="299"/>
      <c r="K29" s="276"/>
      <c r="L29" s="1200"/>
      <c r="M29" s="288" t="s">
        <v>476</v>
      </c>
      <c r="N29" s="291"/>
      <c r="O29" s="291"/>
      <c r="P29" s="291"/>
      <c r="Q29" s="291"/>
      <c r="R29" s="291"/>
      <c r="S29" s="291"/>
      <c r="T29" s="291"/>
      <c r="U29" s="291"/>
      <c r="V29" s="290"/>
      <c r="W29" s="291"/>
      <c r="X29" s="217"/>
      <c r="Z29" s="426"/>
      <c r="AA29" s="426" t="str">
        <f t="shared" si="0"/>
        <v>Добавить схему подключения</v>
      </c>
      <c r="AB29" s="426"/>
      <c r="AC29" s="426"/>
    </row>
    <row r="30" spans="1:29" ht="14.25" customHeight="1">
      <c r="A30" s="1281" t="s">
        <v>173</v>
      </c>
      <c r="B30" s="1281" t="s">
        <v>174</v>
      </c>
      <c r="C30" s="1281" t="s">
        <v>175</v>
      </c>
      <c r="D30" s="1281"/>
      <c r="E30" s="1281" t="s">
        <v>1571</v>
      </c>
      <c r="F30" s="1283"/>
      <c r="G30" s="1283"/>
      <c r="H30" s="462"/>
      <c r="I30" s="281"/>
      <c r="J30" s="299"/>
      <c r="K30" s="276"/>
      <c r="L30" s="1201"/>
      <c r="M30" s="1190"/>
      <c r="N30" s="1191"/>
      <c r="O30" s="1191"/>
      <c r="P30" s="1191"/>
      <c r="Q30" s="1191"/>
      <c r="R30" s="1191"/>
      <c r="S30" s="1191"/>
      <c r="T30" s="1191"/>
      <c r="U30" s="1191"/>
      <c r="V30" s="1192"/>
      <c r="W30" s="1191"/>
      <c r="X30" s="1193"/>
      <c r="Z30" s="426"/>
      <c r="AA30" s="426" t="str">
        <f t="shared" si="0"/>
        <v/>
      </c>
      <c r="AB30" s="426"/>
      <c r="AC30" s="426"/>
    </row>
    <row r="31" spans="1:29" ht="14.25" customHeight="1">
      <c r="A31" s="1281" t="s">
        <v>173</v>
      </c>
      <c r="B31" s="1281" t="s">
        <v>174</v>
      </c>
      <c r="C31" s="1281"/>
      <c r="D31" s="1281"/>
      <c r="E31" s="1281" t="s">
        <v>1572</v>
      </c>
      <c r="F31" s="1429"/>
      <c r="G31" s="1429"/>
      <c r="H31" s="462"/>
      <c r="I31" s="279"/>
      <c r="J31" s="299"/>
      <c r="K31" s="280"/>
      <c r="L31" s="1201"/>
      <c r="M31" s="1194"/>
      <c r="N31" s="1191"/>
      <c r="O31" s="1191"/>
      <c r="P31" s="1191"/>
      <c r="Q31" s="1191"/>
      <c r="R31" s="1191"/>
      <c r="S31" s="1191"/>
      <c r="T31" s="1191"/>
      <c r="U31" s="1191"/>
      <c r="V31" s="1192"/>
      <c r="W31" s="1191"/>
      <c r="X31" s="1193"/>
      <c r="Z31" s="426"/>
      <c r="AA31" s="426" t="str">
        <f t="shared" si="0"/>
        <v/>
      </c>
      <c r="AB31" s="426"/>
      <c r="AC31" s="426"/>
    </row>
    <row r="32" spans="1:29" ht="14.25" customHeight="1">
      <c r="A32" s="1281" t="s">
        <v>1573</v>
      </c>
      <c r="B32" s="1281"/>
      <c r="C32" s="1281"/>
      <c r="D32" s="1281"/>
      <c r="E32" s="1281" t="s">
        <v>104</v>
      </c>
      <c r="F32" s="1429"/>
      <c r="G32" s="1429"/>
      <c r="H32" s="462"/>
      <c r="I32" s="281"/>
      <c r="J32" s="299"/>
      <c r="K32" s="276"/>
      <c r="L32" s="1201"/>
      <c r="M32" s="1195"/>
      <c r="N32" s="1191"/>
      <c r="O32" s="1191"/>
      <c r="P32" s="1191"/>
      <c r="Q32" s="1191"/>
      <c r="R32" s="1191"/>
      <c r="S32" s="1191"/>
      <c r="T32" s="1191"/>
      <c r="U32" s="1191"/>
      <c r="V32" s="1192"/>
      <c r="W32" s="1191"/>
      <c r="X32" s="1193"/>
      <c r="Z32" s="426"/>
      <c r="AA32" s="426" t="str">
        <f t="shared" si="0"/>
        <v/>
      </c>
      <c r="AB32" s="426"/>
      <c r="AC32" s="426"/>
    </row>
    <row r="33" spans="1:29" s="1807" customFormat="1" ht="11.25" customHeight="1">
      <c r="A33" s="1281"/>
      <c r="B33" s="1281"/>
      <c r="C33" s="1281"/>
      <c r="D33" s="1281"/>
      <c r="E33" s="1281" t="s">
        <v>436</v>
      </c>
      <c r="F33" s="1430"/>
      <c r="G33" s="1431"/>
      <c r="H33" s="462"/>
      <c r="L33" s="1202"/>
      <c r="M33" s="1196"/>
      <c r="N33" s="1191"/>
      <c r="O33" s="1191"/>
      <c r="P33" s="1191"/>
      <c r="Q33" s="1191"/>
      <c r="R33" s="1191"/>
      <c r="S33" s="1191"/>
      <c r="T33" s="1191"/>
      <c r="U33" s="1191"/>
      <c r="V33" s="1192"/>
      <c r="W33" s="1191"/>
      <c r="X33" s="1193"/>
      <c r="Y33" s="306"/>
      <c r="Z33" s="306"/>
      <c r="AA33" s="306"/>
      <c r="AB33" s="306"/>
      <c r="AC33" s="306"/>
    </row>
    <row r="34" spans="1:29" ht="11.25" customHeight="1">
      <c r="F34" s="1062"/>
      <c r="G34" s="1062"/>
      <c r="H34" s="462"/>
      <c r="I34" s="1057"/>
      <c r="J34" s="1057"/>
      <c r="K34" s="1057"/>
      <c r="Y34" s="1057"/>
      <c r="Z34" s="1057"/>
      <c r="AA34" s="1057"/>
      <c r="AB34" s="1057"/>
      <c r="AC34" s="1057"/>
    </row>
    <row r="35" spans="1:29" ht="27" customHeight="1">
      <c r="H35" s="462"/>
      <c r="L35" s="1209" t="s">
        <v>508</v>
      </c>
      <c r="M35" s="2075" t="s">
        <v>515</v>
      </c>
      <c r="N35" s="2075"/>
      <c r="O35" s="2075"/>
      <c r="P35" s="2075"/>
      <c r="Q35" s="2075"/>
      <c r="R35" s="2075"/>
      <c r="S35" s="2075"/>
      <c r="T35" s="2075"/>
      <c r="U35" s="2075"/>
      <c r="V35" s="2075"/>
      <c r="W35" s="2075"/>
      <c r="X35" s="2075"/>
    </row>
    <row r="36" spans="1:29" ht="104.25" customHeight="1">
      <c r="H36" s="462"/>
      <c r="I36" s="1224"/>
      <c r="M36" s="2075" t="s">
        <v>510</v>
      </c>
      <c r="N36" s="2075"/>
      <c r="O36" s="2075"/>
      <c r="P36" s="2075"/>
      <c r="Q36" s="2075"/>
      <c r="R36" s="2075"/>
      <c r="S36" s="2075"/>
      <c r="T36" s="2075"/>
      <c r="U36" s="2075"/>
      <c r="V36" s="2075"/>
      <c r="W36" s="2075"/>
      <c r="X36" s="2075"/>
    </row>
    <row r="37" spans="1:29" ht="14.25" customHeight="1">
      <c r="H37" s="462"/>
    </row>
    <row r="38" spans="1:29" ht="14.25" customHeight="1">
      <c r="H38" s="462"/>
    </row>
    <row r="39" spans="1:29" ht="14.25" customHeight="1">
      <c r="H39" s="462"/>
    </row>
    <row r="40" spans="1:29" ht="14.25" customHeight="1">
      <c r="H40" s="462"/>
    </row>
  </sheetData>
  <sheetProtection formatColumns="0" formatRows="0" insertRows="0" deleteColumns="0" deleteRows="0" sort="0" autoFilter="0"/>
  <mergeCells count="39">
    <mergeCell ref="X25:X27"/>
    <mergeCell ref="M35:X35"/>
    <mergeCell ref="M36:X36"/>
    <mergeCell ref="H25:H26"/>
    <mergeCell ref="S25:S26"/>
    <mergeCell ref="T25:T26"/>
    <mergeCell ref="U25:U26"/>
    <mergeCell ref="V25:V26"/>
    <mergeCell ref="X14:X17"/>
    <mergeCell ref="L15:L17"/>
    <mergeCell ref="M15:M17"/>
    <mergeCell ref="O15:U15"/>
    <mergeCell ref="V15:V17"/>
    <mergeCell ref="W15:W17"/>
    <mergeCell ref="O16:O17"/>
    <mergeCell ref="P16:P17"/>
    <mergeCell ref="Q16:R16"/>
    <mergeCell ref="S16:U16"/>
    <mergeCell ref="T17:U17"/>
    <mergeCell ref="L5:U5"/>
    <mergeCell ref="L6:U6"/>
    <mergeCell ref="O8:U8"/>
    <mergeCell ref="O9:U9"/>
    <mergeCell ref="O10:U10"/>
    <mergeCell ref="O11:U11"/>
    <mergeCell ref="L12:M12"/>
    <mergeCell ref="O13:V13"/>
    <mergeCell ref="L14:W14"/>
    <mergeCell ref="T18:U18"/>
    <mergeCell ref="O19:W19"/>
    <mergeCell ref="O20:W20"/>
    <mergeCell ref="O21:W21"/>
    <mergeCell ref="O22:W22"/>
    <mergeCell ref="F23:F28"/>
    <mergeCell ref="I23:I28"/>
    <mergeCell ref="O23:W23"/>
    <mergeCell ref="G24:G27"/>
    <mergeCell ref="J24:J27"/>
    <mergeCell ref="O24:W24"/>
  </mergeCells>
  <dataValidations count="8">
    <dataValidation allowBlank="1" sqref="L131099:X131105 L196635:X196641 L262171:X262177 L327707:X327713 L393243:X393249 L458779:X458785 L524315:X524321 L589851:X589857 L655387:X655393 L720923:X720929 L786459:X786465 L851995:X852001 L917531:X917537 L983067:X983073 L65563:X65569"/>
    <dataValidation allowBlank="1" promptTitle="checkPeriodRange" sqref="R26 R65562 R131098 R196634 R262170 R327706 R393242 R458778 R524314 R589850 R655386 R720922 R786458 R851994 R917530 R983066"/>
    <dataValidation allowBlank="1" showInputMessage="1" showErrorMessage="1" prompt="Для выбора выполните двойной щелчок левой клавиши мыши по соответствующей ячейке." sqref="T65561 T131097 T196633 T262169 T327705 T393241 T458777 T524313 T589849 T655385 T720921 T786457 T851993 T917529 T983065 V589849 V655385 V720921 V786457 V851993 V917529 V983065 V65561 V131097 V458777 V196633 V262169 V327705 V393241 V25 T25 V52431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S65561 S131097 S196633 S262169 S327705 S393241 S458777 S524313 S589849 S655385 S720921 S786457 S851993 S917529 S983065 U65561 U131097 U196633 U262169 U327705 U393241 U458777 U524313 U589849 U655385 U720921 U786457 U851993 U917529 U983065 U25 S25"/>
    <dataValidation type="list" allowBlank="1" showInputMessage="1" showErrorMessage="1" errorTitle="Ошибка" error="Выберите значение из списка" sqref="M65561 M131097 M196633 M262169 M327705 M393241 M458777 M524313 M589849 M655385 M720921 M786457 M851993 M917529 M983065">
      <formula1>kind_of_heat_transfer</formula1>
    </dataValidation>
    <dataValidation type="list" allowBlank="1" showInputMessage="1" errorTitle="Ошибка" error="Выберите значение из списка" prompt="Выберите значение из списка" sqref="O983064:W983064 O65560:W65560 O131096:W131096 O196632:W196632 O262168:W262168 O327704:W327704 O393240:W393240 O458776:W458776 O524312:W524312 O589848:W589848 O655384:W655384 O720920:W720920 O786456:W786456 O851992:W851992 O917528:W917528">
      <formula1>kind_of_cons</formula1>
    </dataValidation>
    <dataValidation type="textLength" operator="lessThanOrEqual" allowBlank="1" showInputMessage="1" showErrorMessage="1" errorTitle="Ошибка" error="Допускается ввод не более 900 символов!" sqref="X65555:X65562 X131091:X131098 X196627:X196634 X262163:X262170 X327699:X327706 X393235:X393242 X458771:X458778 X524307:X524314 X589843:X589850 X655379:X655386 X720915:X720922 X786451:X786458 X851987:X851994 X917523:X917530 X983059:X983066">
      <formula1>900</formula1>
    </dataValidation>
    <dataValidation type="list" allowBlank="1" showInputMessage="1" showErrorMessage="1" errorTitle="Ошибка" error="Выберите значение из списка" sqref="O983063:P983063 O65559:P65559 O131095:P131095 O196631:P196631 O262167:P262167 O327703:P327703 O393239:P393239 O458775:P458775 O524311:P524311 O589847:P589847 O655383:P655383 O720919:P720919 O786455:P786455 O851991:P851991 O917527:P917527">
      <formula1>kind_of_scheme_in</formula1>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AC40"/>
  <sheetViews>
    <sheetView showGridLines="0" topLeftCell="A4" workbookViewId="0"/>
  </sheetViews>
  <sheetFormatPr defaultColWidth="10.5703125" defaultRowHeight="14.25" customHeight="1"/>
  <cols>
    <col min="1" max="1" width="11.5703125" style="1552" customWidth="1"/>
    <col min="2" max="2" width="10.7109375" style="1552" customWidth="1"/>
    <col min="3" max="3" width="10" style="1552" customWidth="1"/>
    <col min="4" max="4" width="12.85546875" style="1552" customWidth="1"/>
    <col min="5" max="5" width="12.28515625" style="1552" customWidth="1"/>
    <col min="6" max="8" width="12.28515625" style="1803" customWidth="1"/>
    <col min="9" max="9" width="3.7109375" style="1803" customWidth="1"/>
    <col min="10" max="11" width="3.7109375" style="265" customWidth="1"/>
    <col min="12" max="12" width="12.7109375" style="1806" customWidth="1"/>
    <col min="13" max="13" width="32" style="1552" customWidth="1"/>
    <col min="14" max="14" width="1.7109375" style="1552" customWidth="1"/>
    <col min="15" max="18" width="24.7109375" style="1552" customWidth="1"/>
    <col min="19" max="19" width="11.7109375" style="1552" customWidth="1"/>
    <col min="20" max="20" width="3.7109375" style="1552" customWidth="1"/>
    <col min="21" max="21" width="11.7109375" style="1552" customWidth="1"/>
    <col min="22" max="22" width="8.5703125" style="1552" customWidth="1"/>
    <col min="23" max="23" width="4.7109375" style="1552" customWidth="1"/>
    <col min="24" max="24" width="115.7109375" style="1552" customWidth="1"/>
    <col min="25" max="26" width="10.5703125" style="1559"/>
    <col min="27" max="27" width="11.140625" style="1559" customWidth="1"/>
    <col min="28" max="29" width="10.5703125" style="1559"/>
  </cols>
  <sheetData>
    <row r="1" spans="6:29" ht="14.25" hidden="1" customHeight="1">
      <c r="R1" s="249"/>
      <c r="S1" s="249"/>
    </row>
    <row r="2" spans="6:29" ht="14.25" hidden="1" customHeight="1">
      <c r="V2" s="249"/>
    </row>
    <row r="3" spans="6:29" ht="14.25" hidden="1" customHeight="1"/>
    <row r="4" spans="6:29" ht="14.25" customHeight="1">
      <c r="J4" s="300"/>
      <c r="K4" s="300"/>
      <c r="L4" s="1197"/>
      <c r="M4" s="286"/>
      <c r="N4" s="286"/>
      <c r="O4" s="435"/>
      <c r="P4" s="435"/>
      <c r="Q4" s="435"/>
      <c r="R4" s="435"/>
      <c r="S4" s="435"/>
      <c r="T4" s="435"/>
      <c r="U4" s="435"/>
      <c r="V4" s="435"/>
    </row>
    <row r="5" spans="6:29" ht="64.5" customHeight="1">
      <c r="J5" s="300"/>
      <c r="K5" s="300"/>
      <c r="L5" s="1927" t="s">
        <v>1568</v>
      </c>
      <c r="M5" s="1927"/>
      <c r="N5" s="1927"/>
      <c r="O5" s="1927"/>
      <c r="P5" s="1927"/>
      <c r="Q5" s="1927"/>
      <c r="R5" s="1927"/>
      <c r="S5" s="1927"/>
      <c r="T5" s="1927"/>
      <c r="U5" s="1927"/>
      <c r="V5" s="1154"/>
    </row>
    <row r="6" spans="6:29" ht="14.25" customHeight="1">
      <c r="J6" s="300"/>
      <c r="K6" s="300"/>
      <c r="L6" s="1950" t="str">
        <f>IF(org=0,"Не определено",org)</f>
        <v>АО СЗ "КМАпроектжилстрой"</v>
      </c>
      <c r="M6" s="1950"/>
      <c r="N6" s="1950"/>
      <c r="O6" s="1950"/>
      <c r="P6" s="1950"/>
      <c r="Q6" s="1950"/>
      <c r="R6" s="1950"/>
      <c r="S6" s="1950"/>
      <c r="T6" s="1950"/>
      <c r="U6" s="1950"/>
      <c r="V6" s="1154"/>
    </row>
    <row r="7" spans="6:29" ht="14.25" customHeight="1">
      <c r="J7" s="300"/>
      <c r="K7" s="300"/>
      <c r="L7" s="1197"/>
      <c r="M7" s="286"/>
      <c r="N7" s="286"/>
      <c r="O7" s="242"/>
      <c r="P7" s="242"/>
      <c r="Q7" s="242"/>
      <c r="R7" s="242"/>
      <c r="S7" s="242"/>
      <c r="T7" s="242"/>
      <c r="U7" s="242"/>
      <c r="V7" s="242"/>
      <c r="W7" s="435"/>
    </row>
    <row r="8" spans="6:29" s="1773" customFormat="1" ht="45" customHeight="1">
      <c r="F8" s="1160"/>
      <c r="G8" s="1160"/>
      <c r="H8" s="1160"/>
      <c r="L8" s="1198"/>
      <c r="M8" s="209" t="s">
        <v>40</v>
      </c>
      <c r="N8" s="218"/>
      <c r="O8" s="2069" t="str">
        <f>IF(TITLE_NAME_OR_PR_CHANGE="",IF(TITLE_NAME_OR_PR="","",TITLE_NAME_OR_PR),TITLE_NAME_OR_PR_CHANGE)</f>
        <v/>
      </c>
      <c r="P8" s="2069"/>
      <c r="Q8" s="2069"/>
      <c r="R8" s="2069"/>
      <c r="S8" s="2069"/>
      <c r="T8" s="2069"/>
      <c r="U8" s="2069"/>
      <c r="V8" s="248"/>
      <c r="W8" s="248"/>
      <c r="X8" s="196"/>
      <c r="Y8" s="292"/>
      <c r="Z8" s="292"/>
      <c r="AA8" s="292"/>
      <c r="AB8" s="292"/>
      <c r="AC8" s="292"/>
    </row>
    <row r="9" spans="6:29" s="1773" customFormat="1" ht="22.5" customHeight="1">
      <c r="F9" s="1160"/>
      <c r="G9" s="1160"/>
      <c r="H9" s="1160"/>
      <c r="L9" s="1198"/>
      <c r="M9" s="209" t="s">
        <v>483</v>
      </c>
      <c r="N9" s="218"/>
      <c r="O9" s="2069" t="str">
        <f>IF(TITLE_DATE_CHANGE_PERIOD="",IF(TITLE_DATE_PR="","",TITLE_DATE_PR),TITLE_DATE_CHANGE_PERIOD)</f>
        <v/>
      </c>
      <c r="P9" s="2069"/>
      <c r="Q9" s="2069"/>
      <c r="R9" s="2069"/>
      <c r="S9" s="2069"/>
      <c r="T9" s="2069"/>
      <c r="U9" s="2069"/>
      <c r="V9" s="248"/>
      <c r="W9" s="248"/>
      <c r="X9" s="196"/>
      <c r="Y9" s="292"/>
      <c r="Z9" s="292"/>
      <c r="AA9" s="292"/>
      <c r="AB9" s="292"/>
      <c r="AC9" s="292"/>
    </row>
    <row r="10" spans="6:29" s="1773" customFormat="1" ht="22.5" customHeight="1">
      <c r="F10" s="1160"/>
      <c r="G10" s="1160"/>
      <c r="H10" s="1160"/>
      <c r="L10" s="1162"/>
      <c r="M10" s="209" t="s">
        <v>484</v>
      </c>
      <c r="N10" s="218"/>
      <c r="O10" s="2069" t="str">
        <f>IF(TITLE_NUMBER_PR_CHANGE="",IF(TITLE_NUMBER_PR="","",TITLE_NUMBER_PR),TITLE_NUMBER_PR_CHANGE)</f>
        <v/>
      </c>
      <c r="P10" s="2069"/>
      <c r="Q10" s="2069"/>
      <c r="R10" s="2069"/>
      <c r="S10" s="2069"/>
      <c r="T10" s="2069"/>
      <c r="U10" s="2069"/>
      <c r="V10" s="248"/>
      <c r="W10" s="248"/>
      <c r="X10" s="196"/>
      <c r="Y10" s="292"/>
      <c r="Z10" s="292"/>
      <c r="AA10" s="292"/>
      <c r="AB10" s="292"/>
      <c r="AC10" s="292"/>
    </row>
    <row r="11" spans="6:29" s="1773" customFormat="1" ht="22.5" customHeight="1">
      <c r="F11" s="1160"/>
      <c r="G11" s="1160"/>
      <c r="H11" s="1160"/>
      <c r="L11" s="1162"/>
      <c r="M11" s="209" t="s">
        <v>41</v>
      </c>
      <c r="N11" s="218"/>
      <c r="O11" s="2069" t="str">
        <f>IF(TITLE_IST_PUB_CHANGE="",IF(TITLE_IST_PUB="","",TITLE_IST_PUB),TITLE_IST_PUB_CHANGE)</f>
        <v/>
      </c>
      <c r="P11" s="2069"/>
      <c r="Q11" s="2069"/>
      <c r="R11" s="2069"/>
      <c r="S11" s="2069"/>
      <c r="T11" s="2069"/>
      <c r="U11" s="2069"/>
      <c r="V11" s="248"/>
      <c r="W11" s="248"/>
      <c r="X11" s="196"/>
      <c r="Y11" s="292"/>
      <c r="Z11" s="292"/>
      <c r="AA11" s="292"/>
      <c r="AB11" s="292"/>
      <c r="AC11" s="292"/>
    </row>
    <row r="12" spans="6:29" s="1773" customFormat="1" ht="11.25" hidden="1" customHeight="1">
      <c r="F12" s="1160"/>
      <c r="G12" s="1160"/>
      <c r="H12" s="1160"/>
      <c r="L12" s="2151"/>
      <c r="M12" s="2151"/>
      <c r="N12" s="1208"/>
      <c r="O12" s="248"/>
      <c r="P12" s="248"/>
      <c r="Q12" s="248"/>
      <c r="R12" s="248"/>
      <c r="S12" s="248"/>
      <c r="T12" s="248"/>
      <c r="U12" s="248"/>
      <c r="V12" s="194" t="s">
        <v>487</v>
      </c>
      <c r="Y12" s="292"/>
      <c r="Z12" s="292"/>
      <c r="AA12" s="292"/>
      <c r="AB12" s="292"/>
      <c r="AC12" s="292"/>
    </row>
    <row r="13" spans="6:29" ht="14.25" customHeight="1">
      <c r="J13" s="300"/>
      <c r="K13" s="300"/>
      <c r="L13" s="1197"/>
      <c r="M13" s="286"/>
      <c r="N13" s="1155"/>
      <c r="O13" s="2087"/>
      <c r="P13" s="2087"/>
      <c r="Q13" s="2087"/>
      <c r="R13" s="2087"/>
      <c r="S13" s="2087"/>
      <c r="T13" s="2087"/>
      <c r="U13" s="2087"/>
      <c r="V13" s="2087"/>
    </row>
    <row r="14" spans="6:29" ht="14.25" customHeight="1">
      <c r="J14" s="300"/>
      <c r="K14" s="300"/>
      <c r="L14" s="1874" t="s">
        <v>291</v>
      </c>
      <c r="M14" s="1874"/>
      <c r="N14" s="1874"/>
      <c r="O14" s="1874"/>
      <c r="P14" s="1874"/>
      <c r="Q14" s="1874"/>
      <c r="R14" s="1874"/>
      <c r="S14" s="1874"/>
      <c r="T14" s="1874"/>
      <c r="U14" s="1874"/>
      <c r="V14" s="1874"/>
      <c r="W14" s="1874"/>
      <c r="X14" s="1874" t="s">
        <v>292</v>
      </c>
    </row>
    <row r="15" spans="6:29" ht="14.25" customHeight="1">
      <c r="J15" s="300"/>
      <c r="K15" s="300"/>
      <c r="L15" s="2088" t="s">
        <v>88</v>
      </c>
      <c r="M15" s="1959" t="s">
        <v>488</v>
      </c>
      <c r="N15" s="215"/>
      <c r="O15" s="2089" t="s">
        <v>1569</v>
      </c>
      <c r="P15" s="2090"/>
      <c r="Q15" s="2090"/>
      <c r="R15" s="2090"/>
      <c r="S15" s="2090"/>
      <c r="T15" s="2090"/>
      <c r="U15" s="2091"/>
      <c r="V15" s="2092" t="s">
        <v>490</v>
      </c>
      <c r="W15" s="2095" t="s">
        <v>1570</v>
      </c>
      <c r="X15" s="1874"/>
    </row>
    <row r="16" spans="6:29" ht="33.75" customHeight="1">
      <c r="J16" s="300"/>
      <c r="K16" s="300"/>
      <c r="L16" s="2088"/>
      <c r="M16" s="1959"/>
      <c r="N16" s="939"/>
      <c r="O16" s="1928" t="s">
        <v>493</v>
      </c>
      <c r="P16" s="1928" t="s">
        <v>494</v>
      </c>
      <c r="Q16" s="1856" t="s">
        <v>495</v>
      </c>
      <c r="R16" s="1855"/>
      <c r="S16" s="1856" t="s">
        <v>514</v>
      </c>
      <c r="T16" s="1861"/>
      <c r="U16" s="1855"/>
      <c r="V16" s="2093"/>
      <c r="W16" s="2096"/>
      <c r="X16" s="1874"/>
    </row>
    <row r="17" spans="1:29" ht="33.75" customHeight="1">
      <c r="A17" s="1181" t="s">
        <v>139</v>
      </c>
      <c r="B17" s="1181" t="s">
        <v>140</v>
      </c>
      <c r="C17" s="1181" t="s">
        <v>141</v>
      </c>
      <c r="D17" s="1181" t="s">
        <v>142</v>
      </c>
      <c r="E17" s="1181"/>
      <c r="J17" s="300"/>
      <c r="K17" s="300"/>
      <c r="L17" s="2088"/>
      <c r="M17" s="1959"/>
      <c r="N17" s="216"/>
      <c r="O17" s="1984"/>
      <c r="P17" s="1984"/>
      <c r="Q17" s="1130" t="s">
        <v>504</v>
      </c>
      <c r="R17" s="1130" t="s">
        <v>505</v>
      </c>
      <c r="S17" s="1213" t="s">
        <v>506</v>
      </c>
      <c r="T17" s="1965" t="s">
        <v>507</v>
      </c>
      <c r="U17" s="1979"/>
      <c r="V17" s="2094"/>
      <c r="W17" s="2097"/>
      <c r="X17" s="1874"/>
    </row>
    <row r="18" spans="1:29" s="1558" customFormat="1" ht="11.25" customHeight="1">
      <c r="A18" s="1181"/>
      <c r="B18" s="1181"/>
      <c r="C18" s="1181"/>
      <c r="D18" s="1181"/>
      <c r="E18" s="1181"/>
      <c r="F18" s="1207"/>
      <c r="G18" s="1207"/>
      <c r="H18" s="1207"/>
      <c r="I18" s="1157"/>
      <c r="J18" s="1158"/>
      <c r="K18" s="1173">
        <v>1</v>
      </c>
      <c r="L18" s="1199" t="s">
        <v>109</v>
      </c>
      <c r="M18" s="1174" t="s">
        <v>110</v>
      </c>
      <c r="N18" s="1156" t="str">
        <f ca="1">OFFSET(N18,0,-1)</f>
        <v>2</v>
      </c>
      <c r="O18" s="1210">
        <f ca="1">OFFSET(O18,0,-1)+1</f>
        <v>3</v>
      </c>
      <c r="P18" s="1210"/>
      <c r="Q18" s="1210">
        <f ca="1">OFFSET(Q18,0,-1)+1</f>
        <v>1</v>
      </c>
      <c r="R18" s="1210">
        <f ca="1">OFFSET(R18,0,-1)+1</f>
        <v>2</v>
      </c>
      <c r="S18" s="1210">
        <f ca="1">OFFSET(S18,0,-1)+1</f>
        <v>3</v>
      </c>
      <c r="T18" s="2086">
        <f ca="1">OFFSET(T18,0,-1)+1</f>
        <v>4</v>
      </c>
      <c r="U18" s="2086"/>
      <c r="V18" s="1210">
        <f ca="1">OFFSET(V18,0,-2)+1</f>
        <v>5</v>
      </c>
      <c r="W18" s="1156">
        <f ca="1">OFFSET(W18,0,-1)</f>
        <v>5</v>
      </c>
      <c r="X18" s="1210">
        <f ca="1">OFFSET(X18,0,-1)+1</f>
        <v>6</v>
      </c>
      <c r="Y18" s="437"/>
      <c r="Z18" s="437"/>
      <c r="AA18" s="437"/>
      <c r="AB18" s="437"/>
      <c r="AC18" s="437"/>
    </row>
    <row r="19" spans="1:29" ht="21" customHeight="1">
      <c r="A19" s="1188" t="s">
        <v>1574</v>
      </c>
      <c r="B19" s="1188" t="s">
        <v>1575</v>
      </c>
      <c r="C19" s="1188" t="s">
        <v>1576</v>
      </c>
      <c r="D19" s="1188" t="s">
        <v>1577</v>
      </c>
      <c r="E19" s="1188"/>
      <c r="F19" s="604"/>
      <c r="G19" s="604"/>
      <c r="H19" s="604"/>
      <c r="I19" s="282"/>
      <c r="J19" s="281"/>
      <c r="K19" s="276"/>
      <c r="L19" s="1214" t="e">
        <f>INDEX(PT_DIFFERENTIATION_NUM_NTAR,MATCH(A19,PT_DIFFERENTIATION_NTAR_ID,0))</f>
        <v>#N/A</v>
      </c>
      <c r="M19" s="212" t="s">
        <v>128</v>
      </c>
      <c r="N19" s="214"/>
      <c r="O19" s="2146" t="e">
        <f>INDEX(PT_DIFFERENTIATION_NTAR,MATCH(A19,PT_DIFFERENTIATION_NTAR_ID,0))</f>
        <v>#N/A</v>
      </c>
      <c r="P19" s="2146"/>
      <c r="Q19" s="2146"/>
      <c r="R19" s="2146"/>
      <c r="S19" s="2146"/>
      <c r="T19" s="2146"/>
      <c r="U19" s="2146"/>
      <c r="V19" s="2146"/>
      <c r="W19" s="2146"/>
      <c r="X19" s="1179" t="s">
        <v>459</v>
      </c>
      <c r="Z19" s="426"/>
      <c r="AA19" s="426" t="str">
        <f t="shared" ref="AA19:AA32" si="0">IF(M19="","",M19)</f>
        <v>Наименование тарифа</v>
      </c>
      <c r="AB19" s="426"/>
      <c r="AC19" s="426"/>
    </row>
    <row r="20" spans="1:29" ht="21" customHeight="1">
      <c r="A20" s="1188" t="s">
        <v>1574</v>
      </c>
      <c r="B20" s="1188" t="s">
        <v>1575</v>
      </c>
      <c r="C20" s="1188" t="s">
        <v>1576</v>
      </c>
      <c r="D20" s="1188" t="s">
        <v>1577</v>
      </c>
      <c r="E20" s="1188"/>
      <c r="F20" s="604"/>
      <c r="G20" s="604"/>
      <c r="H20" s="604"/>
      <c r="I20" s="1211"/>
      <c r="J20" s="273"/>
      <c r="K20" s="274"/>
      <c r="L20" s="1214" t="e">
        <f>INDEX(PT_DIFFERENTIATION_NUM_TER,MATCH(B19,PT_DIFFERENTIATION_TER_ID,0))</f>
        <v>#N/A</v>
      </c>
      <c r="M20" s="224" t="s">
        <v>460</v>
      </c>
      <c r="N20" s="214"/>
      <c r="O20" s="2146" t="e">
        <f>INDEX(PT_DIFFERENTIATION_TER,MATCH(B19,PT_DIFFERENTIATION_TER_ID,0))</f>
        <v>#N/A</v>
      </c>
      <c r="P20" s="2146"/>
      <c r="Q20" s="2146"/>
      <c r="R20" s="2146"/>
      <c r="S20" s="2146"/>
      <c r="T20" s="2146"/>
      <c r="U20" s="2146"/>
      <c r="V20" s="2146"/>
      <c r="W20" s="2146"/>
      <c r="X20" s="1179" t="s">
        <v>461</v>
      </c>
      <c r="Z20" s="426"/>
      <c r="AA20" s="426" t="str">
        <f t="shared" si="0"/>
        <v>Территория действия тарифа</v>
      </c>
      <c r="AB20" s="426"/>
      <c r="AC20" s="426"/>
    </row>
    <row r="21" spans="1:29" ht="22.5" customHeight="1">
      <c r="A21" s="1188" t="s">
        <v>1574</v>
      </c>
      <c r="B21" s="1188" t="s">
        <v>1575</v>
      </c>
      <c r="C21" s="1188" t="s">
        <v>1576</v>
      </c>
      <c r="D21" s="1188" t="s">
        <v>1577</v>
      </c>
      <c r="E21" s="1188"/>
      <c r="F21" s="604"/>
      <c r="G21" s="604"/>
      <c r="H21" s="604"/>
      <c r="I21" s="275"/>
      <c r="J21" s="273"/>
      <c r="K21" s="274"/>
      <c r="L21" s="1214" t="e">
        <f>INDEX(PT_DIFFERENTIATION_NUM_CS,MATCH(C19,PT_DIFFERENTIATION_CS_ID,0))</f>
        <v>#N/A</v>
      </c>
      <c r="M21" s="225" t="s">
        <v>462</v>
      </c>
      <c r="N21" s="214"/>
      <c r="O21" s="2146" t="e">
        <f>INDEX(PT_DIFFERENTIATION_CS,MATCH(C19,PT_DIFFERENTIATION_CS_ID,0))</f>
        <v>#N/A</v>
      </c>
      <c r="P21" s="2146"/>
      <c r="Q21" s="2146"/>
      <c r="R21" s="2146"/>
      <c r="S21" s="2146"/>
      <c r="T21" s="2146"/>
      <c r="U21" s="2146"/>
      <c r="V21" s="2146"/>
      <c r="W21" s="2146"/>
      <c r="X21" s="1179" t="s">
        <v>463</v>
      </c>
      <c r="Z21" s="426"/>
      <c r="AA21" s="426" t="str">
        <f t="shared" si="0"/>
        <v xml:space="preserve">Наименование системы теплоснабжения </v>
      </c>
      <c r="AB21" s="426"/>
      <c r="AC21" s="426"/>
    </row>
    <row r="22" spans="1:29" ht="21" customHeight="1">
      <c r="A22" s="1188" t="s">
        <v>1574</v>
      </c>
      <c r="B22" s="1188" t="s">
        <v>1575</v>
      </c>
      <c r="C22" s="1188" t="s">
        <v>1576</v>
      </c>
      <c r="D22" s="1188" t="s">
        <v>1577</v>
      </c>
      <c r="E22" s="1188"/>
      <c r="F22" s="604"/>
      <c r="G22" s="604"/>
      <c r="H22" s="604"/>
      <c r="I22" s="275"/>
      <c r="J22" s="273"/>
      <c r="K22" s="274"/>
      <c r="L22" s="1214" t="e">
        <f>INDEX(PT_DIFFERENTIATION_NUM_IST_TE,MATCH(D19,PT_DIFFERENTIATION_IST_TE_ID,0))</f>
        <v>#N/A</v>
      </c>
      <c r="M22" s="226" t="s">
        <v>464</v>
      </c>
      <c r="N22" s="214"/>
      <c r="O22" s="2146" t="e">
        <f>INDEX(PT_DIFFERENTIATION_IST_TE,MATCH(D19,PT_DIFFERENTIATION_IST_TE_ID,0))</f>
        <v>#N/A</v>
      </c>
      <c r="P22" s="2146"/>
      <c r="Q22" s="2146"/>
      <c r="R22" s="2146"/>
      <c r="S22" s="2146"/>
      <c r="T22" s="2146"/>
      <c r="U22" s="2146"/>
      <c r="V22" s="2146"/>
      <c r="W22" s="2146"/>
      <c r="X22" s="1179" t="s">
        <v>465</v>
      </c>
      <c r="Z22" s="426"/>
      <c r="AA22" s="426" t="str">
        <f t="shared" si="0"/>
        <v xml:space="preserve">Источник тепловой энергии  </v>
      </c>
      <c r="AB22" s="426"/>
      <c r="AC22" s="426"/>
    </row>
    <row r="23" spans="1:29" ht="94.5" customHeight="1">
      <c r="A23" s="1188" t="s">
        <v>1574</v>
      </c>
      <c r="B23" s="1188" t="s">
        <v>1575</v>
      </c>
      <c r="C23" s="1188" t="s">
        <v>1576</v>
      </c>
      <c r="D23" s="1188" t="s">
        <v>1577</v>
      </c>
      <c r="E23" s="1188"/>
      <c r="F23" s="1859" t="e">
        <f>L22&amp;".1"</f>
        <v>#N/A</v>
      </c>
      <c r="I23" s="1995">
        <v>1</v>
      </c>
      <c r="J23" s="1212"/>
      <c r="K23" s="277"/>
      <c r="L23" s="1214" t="e">
        <f>$F$23</f>
        <v>#N/A</v>
      </c>
      <c r="M23" s="200" t="s">
        <v>467</v>
      </c>
      <c r="N23" s="214"/>
      <c r="O23" s="2147"/>
      <c r="P23" s="2147"/>
      <c r="Q23" s="2147"/>
      <c r="R23" s="2147"/>
      <c r="S23" s="2147"/>
      <c r="T23" s="2147"/>
      <c r="U23" s="2147"/>
      <c r="V23" s="2147"/>
      <c r="W23" s="2147"/>
      <c r="X23" s="1179" t="s">
        <v>468</v>
      </c>
      <c r="Z23" s="426"/>
      <c r="AA23" s="426" t="str">
        <f t="shared" si="0"/>
        <v>Схема подключения теплопотребляющей установки к коллектору источника тепловой энергии</v>
      </c>
      <c r="AB23" s="426"/>
      <c r="AC23" s="426"/>
    </row>
    <row r="24" spans="1:29" ht="84" customHeight="1">
      <c r="A24" s="1188" t="s">
        <v>1574</v>
      </c>
      <c r="B24" s="1188" t="s">
        <v>1575</v>
      </c>
      <c r="C24" s="1188" t="s">
        <v>1576</v>
      </c>
      <c r="D24" s="1188" t="s">
        <v>1577</v>
      </c>
      <c r="E24" s="1188"/>
      <c r="F24" s="1859"/>
      <c r="G24" s="1859" t="e">
        <f>F23&amp;".1"</f>
        <v>#N/A</v>
      </c>
      <c r="I24" s="1995"/>
      <c r="J24" s="1995">
        <v>1</v>
      </c>
      <c r="K24" s="278"/>
      <c r="L24" s="1214" t="e">
        <f>$G$24</f>
        <v>#N/A</v>
      </c>
      <c r="M24" s="201" t="s">
        <v>470</v>
      </c>
      <c r="N24" s="214"/>
      <c r="O24" s="2148"/>
      <c r="P24" s="2149"/>
      <c r="Q24" s="2149"/>
      <c r="R24" s="2149"/>
      <c r="S24" s="2149"/>
      <c r="T24" s="2149"/>
      <c r="U24" s="2149"/>
      <c r="V24" s="2149"/>
      <c r="W24" s="2150"/>
      <c r="X24" s="1179" t="s">
        <v>471</v>
      </c>
      <c r="Z24" s="426"/>
      <c r="AA24" s="426" t="str">
        <f t="shared" si="0"/>
        <v>Группа потребителей</v>
      </c>
      <c r="AB24" s="426"/>
      <c r="AC24" s="426"/>
    </row>
    <row r="25" spans="1:29" ht="11.25" customHeight="1">
      <c r="A25" s="1188" t="s">
        <v>1574</v>
      </c>
      <c r="B25" s="1188" t="s">
        <v>1575</v>
      </c>
      <c r="C25" s="1188" t="s">
        <v>1576</v>
      </c>
      <c r="D25" s="1188" t="s">
        <v>1577</v>
      </c>
      <c r="E25" s="1188"/>
      <c r="F25" s="1859"/>
      <c r="G25" s="1859"/>
      <c r="H25" s="1859" t="e">
        <f>G24&amp;".1"</f>
        <v>#N/A</v>
      </c>
      <c r="I25" s="1995"/>
      <c r="J25" s="1995"/>
      <c r="K25" s="278">
        <v>1</v>
      </c>
      <c r="L25" s="1214" t="e">
        <f>$H$25</f>
        <v>#N/A</v>
      </c>
      <c r="M25" s="1180"/>
      <c r="N25" s="214"/>
      <c r="O25" s="664"/>
      <c r="P25" s="246"/>
      <c r="Q25" s="664"/>
      <c r="R25" s="1178"/>
      <c r="S25" s="2080"/>
      <c r="T25" s="1885" t="s">
        <v>59</v>
      </c>
      <c r="U25" s="2080"/>
      <c r="V25" s="1885" t="s">
        <v>57</v>
      </c>
      <c r="W25" s="246"/>
      <c r="X25" s="2098" t="s">
        <v>473</v>
      </c>
      <c r="Y25" s="437" t="e">
        <f ca="1">STRCHECKDATE(O26:W26)</f>
        <v>#NAME?</v>
      </c>
      <c r="Z25" s="426"/>
      <c r="AA25" s="426" t="str">
        <f t="shared" si="0"/>
        <v/>
      </c>
      <c r="AB25" s="426"/>
      <c r="AC25" s="426"/>
    </row>
    <row r="26" spans="1:29" ht="11.25" customHeight="1">
      <c r="A26" s="1188" t="s">
        <v>1574</v>
      </c>
      <c r="B26" s="1188" t="s">
        <v>1575</v>
      </c>
      <c r="C26" s="1188" t="s">
        <v>1576</v>
      </c>
      <c r="D26" s="1188" t="s">
        <v>1577</v>
      </c>
      <c r="E26" s="1188"/>
      <c r="F26" s="1859"/>
      <c r="G26" s="1859"/>
      <c r="H26" s="1859"/>
      <c r="I26" s="1995"/>
      <c r="J26" s="1995"/>
      <c r="K26" s="278"/>
      <c r="L26" s="1215"/>
      <c r="M26" s="214"/>
      <c r="N26" s="214"/>
      <c r="O26" s="246"/>
      <c r="P26" s="246"/>
      <c r="Q26" s="246"/>
      <c r="R26" s="250" t="str">
        <f>S25&amp;"-"&amp;U25</f>
        <v>-</v>
      </c>
      <c r="S26" s="2081"/>
      <c r="T26" s="1885"/>
      <c r="U26" s="2081"/>
      <c r="V26" s="1885"/>
      <c r="W26" s="246"/>
      <c r="X26" s="2099"/>
      <c r="Z26" s="426"/>
      <c r="AA26" s="426" t="str">
        <f t="shared" si="0"/>
        <v/>
      </c>
      <c r="AB26" s="426"/>
      <c r="AC26" s="426"/>
    </row>
    <row r="27" spans="1:29" ht="15" customHeight="1">
      <c r="A27" s="1188" t="s">
        <v>1574</v>
      </c>
      <c r="B27" s="1188" t="s">
        <v>1575</v>
      </c>
      <c r="C27" s="1188" t="s">
        <v>1576</v>
      </c>
      <c r="D27" s="1188" t="s">
        <v>1577</v>
      </c>
      <c r="E27" s="1188"/>
      <c r="F27" s="1859"/>
      <c r="G27" s="1859"/>
      <c r="I27" s="1995"/>
      <c r="J27" s="1995"/>
      <c r="K27" s="277"/>
      <c r="L27" s="1200"/>
      <c r="M27" s="203" t="s">
        <v>474</v>
      </c>
      <c r="N27" s="291"/>
      <c r="O27" s="291"/>
      <c r="P27" s="291"/>
      <c r="Q27" s="291"/>
      <c r="R27" s="291"/>
      <c r="S27" s="291"/>
      <c r="T27" s="291"/>
      <c r="U27" s="291"/>
      <c r="V27" s="291"/>
      <c r="W27" s="245"/>
      <c r="X27" s="2100"/>
      <c r="Z27" s="426"/>
      <c r="AA27" s="426" t="str">
        <f t="shared" si="0"/>
        <v>Добавить вид теплоносителя (параметры теплоносителя)</v>
      </c>
      <c r="AB27" s="426"/>
      <c r="AC27" s="426"/>
    </row>
    <row r="28" spans="1:29" ht="15" customHeight="1">
      <c r="A28" s="1188" t="s">
        <v>1574</v>
      </c>
      <c r="B28" s="1188" t="s">
        <v>1575</v>
      </c>
      <c r="C28" s="1188" t="s">
        <v>1576</v>
      </c>
      <c r="D28" s="1188" t="s">
        <v>1577</v>
      </c>
      <c r="E28" s="1188"/>
      <c r="F28" s="1859"/>
      <c r="I28" s="1995"/>
      <c r="J28" s="1212"/>
      <c r="K28" s="277"/>
      <c r="L28" s="1200"/>
      <c r="M28" s="202" t="s">
        <v>475</v>
      </c>
      <c r="N28" s="291"/>
      <c r="O28" s="291"/>
      <c r="P28" s="291"/>
      <c r="Q28" s="291"/>
      <c r="R28" s="291"/>
      <c r="S28" s="291"/>
      <c r="T28" s="291"/>
      <c r="U28" s="291"/>
      <c r="V28" s="290"/>
      <c r="W28" s="291"/>
      <c r="X28" s="217"/>
      <c r="Z28" s="426"/>
      <c r="AA28" s="426" t="str">
        <f t="shared" si="0"/>
        <v>Добавить группу потребителей</v>
      </c>
      <c r="AB28" s="426"/>
      <c r="AC28" s="426"/>
    </row>
    <row r="29" spans="1:29" ht="14.25" customHeight="1">
      <c r="A29" s="1188" t="s">
        <v>1574</v>
      </c>
      <c r="B29" s="1188" t="s">
        <v>1575</v>
      </c>
      <c r="C29" s="1188" t="s">
        <v>1576</v>
      </c>
      <c r="D29" s="1188" t="s">
        <v>1577</v>
      </c>
      <c r="E29" s="1188"/>
      <c r="F29" s="604"/>
      <c r="G29" s="604"/>
      <c r="H29" s="435"/>
      <c r="I29" s="281"/>
      <c r="J29" s="299"/>
      <c r="K29" s="276"/>
      <c r="L29" s="1200"/>
      <c r="M29" s="288" t="s">
        <v>476</v>
      </c>
      <c r="N29" s="291"/>
      <c r="O29" s="291"/>
      <c r="P29" s="291"/>
      <c r="Q29" s="291"/>
      <c r="R29" s="291"/>
      <c r="S29" s="291"/>
      <c r="T29" s="291"/>
      <c r="U29" s="291"/>
      <c r="V29" s="290"/>
      <c r="W29" s="291"/>
      <c r="X29" s="217"/>
      <c r="Z29" s="426"/>
      <c r="AA29" s="426" t="str">
        <f t="shared" si="0"/>
        <v>Добавить схему подключения</v>
      </c>
      <c r="AB29" s="426"/>
      <c r="AC29" s="426"/>
    </row>
    <row r="30" spans="1:29" ht="14.25" customHeight="1">
      <c r="A30" s="1188" t="s">
        <v>1574</v>
      </c>
      <c r="B30" s="1188" t="s">
        <v>1575</v>
      </c>
      <c r="C30" s="1188" t="s">
        <v>1576</v>
      </c>
      <c r="D30" s="1188"/>
      <c r="E30" s="1188" t="s">
        <v>1571</v>
      </c>
      <c r="F30" s="604"/>
      <c r="G30" s="604"/>
      <c r="H30" s="435"/>
      <c r="I30" s="281"/>
      <c r="J30" s="299"/>
      <c r="K30" s="276"/>
      <c r="L30" s="1201"/>
      <c r="M30" s="1190"/>
      <c r="N30" s="1191"/>
      <c r="O30" s="1191"/>
      <c r="P30" s="1191"/>
      <c r="Q30" s="1191"/>
      <c r="R30" s="1191"/>
      <c r="S30" s="1191"/>
      <c r="T30" s="1191"/>
      <c r="U30" s="1191"/>
      <c r="V30" s="1192"/>
      <c r="W30" s="1191"/>
      <c r="X30" s="1193"/>
      <c r="Z30" s="426"/>
      <c r="AA30" s="426" t="str">
        <f t="shared" si="0"/>
        <v/>
      </c>
      <c r="AB30" s="426"/>
      <c r="AC30" s="426"/>
    </row>
    <row r="31" spans="1:29" ht="14.25" customHeight="1">
      <c r="A31" s="1188" t="s">
        <v>1574</v>
      </c>
      <c r="B31" s="1188" t="s">
        <v>1575</v>
      </c>
      <c r="C31" s="1188"/>
      <c r="D31" s="1188"/>
      <c r="E31" s="1188" t="s">
        <v>1572</v>
      </c>
      <c r="F31" s="1176"/>
      <c r="G31" s="1176"/>
      <c r="H31" s="435"/>
      <c r="I31" s="279"/>
      <c r="J31" s="299"/>
      <c r="K31" s="280"/>
      <c r="L31" s="1201"/>
      <c r="M31" s="1194"/>
      <c r="N31" s="1191"/>
      <c r="O31" s="1191"/>
      <c r="P31" s="1191"/>
      <c r="Q31" s="1191"/>
      <c r="R31" s="1191"/>
      <c r="S31" s="1191"/>
      <c r="T31" s="1191"/>
      <c r="U31" s="1191"/>
      <c r="V31" s="1192"/>
      <c r="W31" s="1191"/>
      <c r="X31" s="1193"/>
      <c r="Z31" s="426"/>
      <c r="AA31" s="426" t="str">
        <f t="shared" si="0"/>
        <v/>
      </c>
      <c r="AB31" s="426"/>
      <c r="AC31" s="426"/>
    </row>
    <row r="32" spans="1:29" ht="14.25" customHeight="1">
      <c r="A32" s="1188" t="s">
        <v>1578</v>
      </c>
      <c r="B32" s="1188"/>
      <c r="C32" s="1188"/>
      <c r="D32" s="1188"/>
      <c r="E32" s="1188" t="s">
        <v>104</v>
      </c>
      <c r="F32" s="1176"/>
      <c r="G32" s="1176"/>
      <c r="H32" s="435"/>
      <c r="I32" s="281"/>
      <c r="J32" s="299"/>
      <c r="K32" s="276"/>
      <c r="L32" s="1201"/>
      <c r="M32" s="1195"/>
      <c r="N32" s="1191"/>
      <c r="O32" s="1191"/>
      <c r="P32" s="1191"/>
      <c r="Q32" s="1191"/>
      <c r="R32" s="1191"/>
      <c r="S32" s="1191"/>
      <c r="T32" s="1191"/>
      <c r="U32" s="1191"/>
      <c r="V32" s="1192"/>
      <c r="W32" s="1191"/>
      <c r="X32" s="1193"/>
      <c r="Z32" s="426"/>
      <c r="AA32" s="426" t="str">
        <f t="shared" si="0"/>
        <v/>
      </c>
      <c r="AB32" s="426"/>
      <c r="AC32" s="426"/>
    </row>
    <row r="33" spans="1:29" s="1807" customFormat="1" ht="11.25" customHeight="1">
      <c r="A33" s="1188"/>
      <c r="B33" s="1188"/>
      <c r="C33" s="1188"/>
      <c r="D33" s="1188"/>
      <c r="E33" s="1188" t="s">
        <v>436</v>
      </c>
      <c r="F33" s="1189"/>
      <c r="G33" s="1177"/>
      <c r="H33" s="435"/>
      <c r="L33" s="1202"/>
      <c r="M33" s="1196"/>
      <c r="N33" s="1191"/>
      <c r="O33" s="1191"/>
      <c r="P33" s="1191"/>
      <c r="Q33" s="1191"/>
      <c r="R33" s="1191"/>
      <c r="S33" s="1191"/>
      <c r="T33" s="1191"/>
      <c r="U33" s="1191"/>
      <c r="V33" s="1192"/>
      <c r="W33" s="1191"/>
      <c r="X33" s="1193"/>
      <c r="Y33" s="306"/>
      <c r="Z33" s="306"/>
      <c r="AA33" s="306"/>
      <c r="AB33" s="306"/>
      <c r="AC33" s="306"/>
    </row>
    <row r="34" spans="1:29" ht="11.25" customHeight="1">
      <c r="F34" s="1057"/>
      <c r="G34" s="1057"/>
      <c r="H34" s="435"/>
      <c r="I34" s="1057"/>
      <c r="J34" s="1057"/>
      <c r="K34" s="1057"/>
      <c r="Y34" s="1057"/>
      <c r="Z34" s="1057"/>
      <c r="AA34" s="1057"/>
      <c r="AB34" s="1057"/>
      <c r="AC34" s="1057"/>
    </row>
    <row r="35" spans="1:29" ht="27" customHeight="1">
      <c r="H35" s="435"/>
      <c r="L35" s="1209" t="s">
        <v>508</v>
      </c>
      <c r="M35" s="2075" t="s">
        <v>515</v>
      </c>
      <c r="N35" s="2075"/>
      <c r="O35" s="2075"/>
      <c r="P35" s="2075"/>
      <c r="Q35" s="2075"/>
      <c r="R35" s="2075"/>
      <c r="S35" s="2075"/>
      <c r="T35" s="2075"/>
      <c r="U35" s="2075"/>
      <c r="V35" s="2075"/>
      <c r="W35" s="2075"/>
      <c r="X35" s="2075"/>
    </row>
    <row r="36" spans="1:29" ht="104.25" customHeight="1">
      <c r="F36" s="1224"/>
      <c r="G36" s="1224"/>
      <c r="H36" s="435"/>
      <c r="I36" s="1224"/>
      <c r="M36" s="2075" t="s">
        <v>510</v>
      </c>
      <c r="N36" s="2075"/>
      <c r="O36" s="2075"/>
      <c r="P36" s="2075"/>
      <c r="Q36" s="2075"/>
      <c r="R36" s="2075"/>
      <c r="S36" s="2075"/>
      <c r="T36" s="2075"/>
      <c r="U36" s="2075"/>
      <c r="V36" s="2075"/>
      <c r="W36" s="2075"/>
      <c r="X36" s="2075"/>
    </row>
    <row r="37" spans="1:29" ht="14.25" customHeight="1">
      <c r="H37" s="435"/>
    </row>
    <row r="38" spans="1:29" ht="14.25" customHeight="1">
      <c r="H38" s="435"/>
    </row>
    <row r="39" spans="1:29" ht="14.25" customHeight="1">
      <c r="H39" s="435"/>
    </row>
    <row r="40" spans="1:29" ht="14.25" customHeight="1">
      <c r="H40" s="435"/>
    </row>
  </sheetData>
  <sheetProtection formatColumns="0" formatRows="0" insertRows="0" deleteColumns="0" deleteRows="0" sort="0" autoFilter="0"/>
  <mergeCells count="39">
    <mergeCell ref="M35:X35"/>
    <mergeCell ref="M36:X36"/>
    <mergeCell ref="S25:S26"/>
    <mergeCell ref="T25:T26"/>
    <mergeCell ref="U25:U26"/>
    <mergeCell ref="V25:V26"/>
    <mergeCell ref="X25:X27"/>
    <mergeCell ref="X14:X17"/>
    <mergeCell ref="L15:L17"/>
    <mergeCell ref="M15:M17"/>
    <mergeCell ref="O15:U15"/>
    <mergeCell ref="V15:V17"/>
    <mergeCell ref="W15:W17"/>
    <mergeCell ref="O16:O17"/>
    <mergeCell ref="P16:P17"/>
    <mergeCell ref="Q16:R16"/>
    <mergeCell ref="S16:U16"/>
    <mergeCell ref="T17:U17"/>
    <mergeCell ref="L5:U5"/>
    <mergeCell ref="L6:U6"/>
    <mergeCell ref="O8:U8"/>
    <mergeCell ref="O9:U9"/>
    <mergeCell ref="O10:U10"/>
    <mergeCell ref="O11:U11"/>
    <mergeCell ref="L12:M12"/>
    <mergeCell ref="O13:V13"/>
    <mergeCell ref="L14:W14"/>
    <mergeCell ref="T18:U18"/>
    <mergeCell ref="O19:W19"/>
    <mergeCell ref="O20:W20"/>
    <mergeCell ref="O21:W21"/>
    <mergeCell ref="O22:W22"/>
    <mergeCell ref="F23:F28"/>
    <mergeCell ref="I23:I28"/>
    <mergeCell ref="O23:W23"/>
    <mergeCell ref="G24:G27"/>
    <mergeCell ref="J24:J27"/>
    <mergeCell ref="O24:W24"/>
    <mergeCell ref="H25:H26"/>
  </mergeCells>
  <dataValidations count="8">
    <dataValidation type="list" allowBlank="1" showInputMessage="1" showErrorMessage="1" errorTitle="Ошибка" error="Выберите значение из списка" sqref="O983063:P983063 O65559:P65559 O131095:P131095 O196631:P196631 O262167:P262167 O327703:P327703 O393239:P393239 O458775:P458775 O524311:P524311 O589847:P589847 O655383:P655383 O720919:P720919 O786455:P786455 O851991:P851991 O917527:P917527">
      <formula1>kind_of_scheme_in</formula1>
    </dataValidation>
    <dataValidation type="list" allowBlank="1" showInputMessage="1" errorTitle="Ошибка" error="Выберите значение из списка" prompt="Выберите значение из списка" sqref="O983064:W983064 O65560:W65560 O131096:W131096 O196632:W196632 O262168:W262168 O327704:W327704 O393240:W393240 O458776:W458776 O524312:W524312 O589848:W589848 O655384:W655384 O720920:W720920 O786456:W786456 O851992:W851992 O917528:W917528">
      <formula1>kind_of_cons</formula1>
    </dataValidation>
    <dataValidation type="textLength" operator="lessThanOrEqual" allowBlank="1" showInputMessage="1" showErrorMessage="1" errorTitle="Ошибка" error="Допускается ввод не более 900 символов!" sqref="X65555:X65562 X131091:X131098 X196627:X196634 X262163:X262170 X327699:X327706 X393235:X393242 X458771:X458778 X524307:X524314 X589843:X589850 X655379:X655386 X720915:X720922 X786451:X786458 X851987:X851994 X917523:X917530 X983059:X983066">
      <formula1>900</formula1>
    </dataValidation>
    <dataValidation type="list" allowBlank="1" showInputMessage="1" showErrorMessage="1" errorTitle="Ошибка" error="Выберите значение из списка" sqref="M65561 M131097 M196633 M262169 M327705 M393241 M458777 M524313 M589849 M655385 M720921 M786457 M851993 M917529 M983065">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S65561 S131097 S196633 S262169 S327705 S393241 S458777 S524313 S589849 S655385 S720921 S786457 S851993 S917529 S983065 U65561 U131097 U196633 U262169 U327705 U393241 U458777 U524313 U589849 U655385 U720921 U786457 U851993 U917529 U983065 U25 S25"/>
    <dataValidation allowBlank="1" showInputMessage="1" showErrorMessage="1" prompt="Для выбора выполните двойной щелчок левой клавиши мыши по соответствующей ячейке." sqref="T65561 T131097 T196633 T262169 T327705 T393241 T458777 T524313 T589849 T655385 T720921 T786457 T851993 T917529 T983065 V589849 V655385 V720921 V786457 V851993 V917529 V983065 V65561 V131097 V458777 V196633 V262169 V327705 V393241 V25 T25 V524313"/>
    <dataValidation allowBlank="1" promptTitle="checkPeriodRange" sqref="R26 R65562 R131098 R196634 R262170 R327706 R393242 R458778 R524314 R589850 R655386 R720922 R786458 R851994 R917530 R983066"/>
    <dataValidation allowBlank="1" sqref="L131099:X131105 L196635:X196641 L262171:X262177 L327707:X327713 L393243:X393249 L458779:X458785 L524315:X524321 L589851:X589857 L655387:X655393 L720923:X720929 L786459:X786465 L851995:X852001 L917531:X917537 L983067:X983073 L65563:X65569"/>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AC40"/>
  <sheetViews>
    <sheetView showGridLines="0" topLeftCell="A4" workbookViewId="0"/>
  </sheetViews>
  <sheetFormatPr defaultColWidth="10.5703125" defaultRowHeight="14.25" customHeight="1"/>
  <cols>
    <col min="1" max="1" width="10.5703125" style="1552"/>
    <col min="2" max="2" width="11" style="1552" customWidth="1"/>
    <col min="3" max="3" width="10.5703125" style="1552"/>
    <col min="4" max="4" width="11.85546875" style="1552" customWidth="1"/>
    <col min="5" max="5" width="12.28515625" style="1552" customWidth="1"/>
    <col min="6" max="8" width="12.28515625" style="1803" customWidth="1"/>
    <col min="9" max="9" width="3.7109375" style="1803" customWidth="1"/>
    <col min="10" max="11" width="3.7109375" style="265" customWidth="1"/>
    <col min="12" max="12" width="12.7109375" style="1806" customWidth="1"/>
    <col min="13" max="13" width="32" style="1552" customWidth="1"/>
    <col min="14" max="14" width="1.7109375" style="1552" customWidth="1"/>
    <col min="15" max="18" width="24.7109375" style="1552" customWidth="1"/>
    <col min="19" max="19" width="11.7109375" style="1552" customWidth="1"/>
    <col min="20" max="20" width="3.7109375" style="1552" customWidth="1"/>
    <col min="21" max="21" width="11.7109375" style="1552" customWidth="1"/>
    <col min="22" max="22" width="8.5703125" style="1552" customWidth="1"/>
    <col min="23" max="23" width="4.7109375" style="1552" customWidth="1"/>
    <col min="24" max="24" width="115.7109375" style="1552" customWidth="1"/>
    <col min="25" max="26" width="10.5703125" style="1559"/>
    <col min="27" max="27" width="11.140625" style="1559" customWidth="1"/>
    <col min="28" max="29" width="10.5703125" style="1559"/>
  </cols>
  <sheetData>
    <row r="1" spans="6:29" ht="14.25" hidden="1" customHeight="1">
      <c r="R1" s="249"/>
      <c r="S1" s="249"/>
    </row>
    <row r="2" spans="6:29" ht="14.25" hidden="1" customHeight="1">
      <c r="V2" s="249"/>
    </row>
    <row r="3" spans="6:29" ht="14.25" hidden="1" customHeight="1"/>
    <row r="4" spans="6:29" ht="14.25" customHeight="1">
      <c r="J4" s="300"/>
      <c r="K4" s="300"/>
      <c r="L4" s="1197"/>
      <c r="M4" s="286"/>
      <c r="N4" s="286"/>
      <c r="O4" s="435"/>
      <c r="P4" s="435"/>
      <c r="Q4" s="435"/>
      <c r="R4" s="435"/>
      <c r="S4" s="435"/>
      <c r="T4" s="435"/>
      <c r="U4" s="435"/>
      <c r="V4" s="435"/>
    </row>
    <row r="5" spans="6:29" ht="64.5" customHeight="1">
      <c r="J5" s="300"/>
      <c r="K5" s="300"/>
      <c r="L5" s="1927" t="s">
        <v>1568</v>
      </c>
      <c r="M5" s="1927"/>
      <c r="N5" s="1927"/>
      <c r="O5" s="1927"/>
      <c r="P5" s="1927"/>
      <c r="Q5" s="1927"/>
      <c r="R5" s="1927"/>
      <c r="S5" s="1927"/>
      <c r="T5" s="1927"/>
      <c r="U5" s="1927"/>
      <c r="V5" s="1154"/>
    </row>
    <row r="6" spans="6:29" ht="14.25" customHeight="1">
      <c r="J6" s="300"/>
      <c r="K6" s="300"/>
      <c r="L6" s="1950" t="str">
        <f>IF(org=0,"Не определено",org)</f>
        <v>АО СЗ "КМАпроектжилстрой"</v>
      </c>
      <c r="M6" s="1950"/>
      <c r="N6" s="1950"/>
      <c r="O6" s="1950"/>
      <c r="P6" s="1950"/>
      <c r="Q6" s="1950"/>
      <c r="R6" s="1950"/>
      <c r="S6" s="1950"/>
      <c r="T6" s="1950"/>
      <c r="U6" s="1950"/>
      <c r="V6" s="1154"/>
    </row>
    <row r="7" spans="6:29" ht="14.25" customHeight="1">
      <c r="J7" s="300"/>
      <c r="K7" s="300"/>
      <c r="L7" s="1197"/>
      <c r="M7" s="286"/>
      <c r="N7" s="286"/>
      <c r="O7" s="242"/>
      <c r="P7" s="242"/>
      <c r="Q7" s="242"/>
      <c r="R7" s="242"/>
      <c r="S7" s="242"/>
      <c r="T7" s="242"/>
      <c r="U7" s="242"/>
      <c r="V7" s="242"/>
      <c r="W7" s="435"/>
    </row>
    <row r="8" spans="6:29" s="1773" customFormat="1" ht="45" customHeight="1">
      <c r="F8" s="1160"/>
      <c r="G8" s="1160"/>
      <c r="H8" s="1160"/>
      <c r="L8" s="1198"/>
      <c r="M8" s="209" t="s">
        <v>40</v>
      </c>
      <c r="N8" s="218"/>
      <c r="O8" s="2069" t="str">
        <f>IF(TITLE_NAME_OR_PR_CHANGE="",IF(TITLE_NAME_OR_PR="","",TITLE_NAME_OR_PR),TITLE_NAME_OR_PR_CHANGE)</f>
        <v/>
      </c>
      <c r="P8" s="2069"/>
      <c r="Q8" s="2069"/>
      <c r="R8" s="2069"/>
      <c r="S8" s="2069"/>
      <c r="T8" s="2069"/>
      <c r="U8" s="2069"/>
      <c r="V8" s="248"/>
      <c r="W8" s="248"/>
      <c r="X8" s="196"/>
      <c r="Y8" s="292"/>
      <c r="Z8" s="292"/>
      <c r="AA8" s="292"/>
      <c r="AB8" s="292"/>
      <c r="AC8" s="292"/>
    </row>
    <row r="9" spans="6:29" s="1773" customFormat="1" ht="22.5" customHeight="1">
      <c r="F9" s="1160"/>
      <c r="G9" s="1160"/>
      <c r="H9" s="1160"/>
      <c r="L9" s="1198"/>
      <c r="M9" s="209" t="s">
        <v>483</v>
      </c>
      <c r="N9" s="218"/>
      <c r="O9" s="2069" t="str">
        <f>IF(TITLE_DATE_CHANGE_PERIOD="",IF(TITLE_DATE_PR="","",TITLE_DATE_PR),TITLE_DATE_CHANGE_PERIOD)</f>
        <v/>
      </c>
      <c r="P9" s="2069"/>
      <c r="Q9" s="2069"/>
      <c r="R9" s="2069"/>
      <c r="S9" s="2069"/>
      <c r="T9" s="2069"/>
      <c r="U9" s="2069"/>
      <c r="V9" s="248"/>
      <c r="W9" s="248"/>
      <c r="X9" s="196"/>
      <c r="Y9" s="292"/>
      <c r="Z9" s="292"/>
      <c r="AA9" s="292"/>
      <c r="AB9" s="292"/>
      <c r="AC9" s="292"/>
    </row>
    <row r="10" spans="6:29" s="1773" customFormat="1" ht="22.5" customHeight="1">
      <c r="F10" s="1160"/>
      <c r="G10" s="1160"/>
      <c r="H10" s="1160"/>
      <c r="L10" s="1162"/>
      <c r="M10" s="209" t="s">
        <v>484</v>
      </c>
      <c r="N10" s="218"/>
      <c r="O10" s="2069" t="str">
        <f>IF(TITLE_NUMBER_PR_CHANGE="",IF(TITLE_NUMBER_PR="","",TITLE_NUMBER_PR),TITLE_NUMBER_PR_CHANGE)</f>
        <v/>
      </c>
      <c r="P10" s="2069"/>
      <c r="Q10" s="2069"/>
      <c r="R10" s="2069"/>
      <c r="S10" s="2069"/>
      <c r="T10" s="2069"/>
      <c r="U10" s="2069"/>
      <c r="V10" s="248"/>
      <c r="W10" s="248"/>
      <c r="X10" s="196"/>
      <c r="Y10" s="292"/>
      <c r="Z10" s="292"/>
      <c r="AA10" s="292"/>
      <c r="AB10" s="292"/>
      <c r="AC10" s="292"/>
    </row>
    <row r="11" spans="6:29" s="1773" customFormat="1" ht="22.5" customHeight="1">
      <c r="F11" s="1160"/>
      <c r="G11" s="1160"/>
      <c r="H11" s="1160"/>
      <c r="L11" s="1162"/>
      <c r="M11" s="209" t="s">
        <v>41</v>
      </c>
      <c r="N11" s="218"/>
      <c r="O11" s="2069" t="str">
        <f>IF(TITLE_IST_PUB_CHANGE="",IF(TITLE_IST_PUB="","",TITLE_IST_PUB),TITLE_IST_PUB_CHANGE)</f>
        <v/>
      </c>
      <c r="P11" s="2069"/>
      <c r="Q11" s="2069"/>
      <c r="R11" s="2069"/>
      <c r="S11" s="2069"/>
      <c r="T11" s="2069"/>
      <c r="U11" s="2069"/>
      <c r="V11" s="248"/>
      <c r="W11" s="248"/>
      <c r="X11" s="196"/>
      <c r="Y11" s="292"/>
      <c r="Z11" s="292"/>
      <c r="AA11" s="292"/>
      <c r="AB11" s="292"/>
      <c r="AC11" s="292"/>
    </row>
    <row r="12" spans="6:29" s="1773" customFormat="1" ht="11.25" hidden="1" customHeight="1">
      <c r="F12" s="1160"/>
      <c r="G12" s="1160"/>
      <c r="H12" s="1160"/>
      <c r="L12" s="2151"/>
      <c r="M12" s="2151"/>
      <c r="N12" s="1208"/>
      <c r="O12" s="248"/>
      <c r="P12" s="248"/>
      <c r="Q12" s="248"/>
      <c r="R12" s="248"/>
      <c r="S12" s="248"/>
      <c r="T12" s="248"/>
      <c r="U12" s="248"/>
      <c r="V12" s="194" t="s">
        <v>487</v>
      </c>
      <c r="Y12" s="292"/>
      <c r="Z12" s="292"/>
      <c r="AA12" s="292"/>
      <c r="AB12" s="292"/>
      <c r="AC12" s="292"/>
    </row>
    <row r="13" spans="6:29" ht="14.25" customHeight="1">
      <c r="J13" s="300"/>
      <c r="K13" s="300"/>
      <c r="L13" s="1197"/>
      <c r="M13" s="286"/>
      <c r="N13" s="1155"/>
      <c r="O13" s="2087"/>
      <c r="P13" s="2087"/>
      <c r="Q13" s="2087"/>
      <c r="R13" s="2087"/>
      <c r="S13" s="2087"/>
      <c r="T13" s="2087"/>
      <c r="U13" s="2087"/>
      <c r="V13" s="2087"/>
    </row>
    <row r="14" spans="6:29" ht="14.25" customHeight="1">
      <c r="J14" s="300"/>
      <c r="K14" s="300"/>
      <c r="L14" s="1874" t="s">
        <v>291</v>
      </c>
      <c r="M14" s="1874"/>
      <c r="N14" s="1874"/>
      <c r="O14" s="1874"/>
      <c r="P14" s="1874"/>
      <c r="Q14" s="1874"/>
      <c r="R14" s="1874"/>
      <c r="S14" s="1874"/>
      <c r="T14" s="1874"/>
      <c r="U14" s="1874"/>
      <c r="V14" s="1874"/>
      <c r="W14" s="1874"/>
      <c r="X14" s="1874" t="s">
        <v>292</v>
      </c>
    </row>
    <row r="15" spans="6:29" ht="14.25" customHeight="1">
      <c r="J15" s="300"/>
      <c r="K15" s="300"/>
      <c r="L15" s="2088" t="s">
        <v>88</v>
      </c>
      <c r="M15" s="1959" t="s">
        <v>488</v>
      </c>
      <c r="N15" s="215"/>
      <c r="O15" s="2089" t="s">
        <v>1569</v>
      </c>
      <c r="P15" s="2090"/>
      <c r="Q15" s="2090"/>
      <c r="R15" s="2090"/>
      <c r="S15" s="2090"/>
      <c r="T15" s="2090"/>
      <c r="U15" s="2091"/>
      <c r="V15" s="2092" t="s">
        <v>490</v>
      </c>
      <c r="W15" s="2095" t="s">
        <v>1570</v>
      </c>
      <c r="X15" s="1874"/>
    </row>
    <row r="16" spans="6:29" ht="33.75" customHeight="1">
      <c r="J16" s="300"/>
      <c r="K16" s="300"/>
      <c r="L16" s="2088"/>
      <c r="M16" s="1959"/>
      <c r="N16" s="939"/>
      <c r="O16" s="1928" t="s">
        <v>493</v>
      </c>
      <c r="P16" s="1928" t="s">
        <v>494</v>
      </c>
      <c r="Q16" s="1856" t="s">
        <v>495</v>
      </c>
      <c r="R16" s="1855"/>
      <c r="S16" s="1856" t="s">
        <v>514</v>
      </c>
      <c r="T16" s="1861"/>
      <c r="U16" s="1855"/>
      <c r="V16" s="2093"/>
      <c r="W16" s="2096"/>
      <c r="X16" s="1874"/>
    </row>
    <row r="17" spans="1:29" ht="33.75" customHeight="1">
      <c r="A17" s="1181" t="s">
        <v>139</v>
      </c>
      <c r="B17" s="1181" t="s">
        <v>140</v>
      </c>
      <c r="C17" s="1181" t="s">
        <v>141</v>
      </c>
      <c r="D17" s="1181" t="s">
        <v>142</v>
      </c>
      <c r="E17" s="1181"/>
      <c r="J17" s="300"/>
      <c r="K17" s="300"/>
      <c r="L17" s="2088"/>
      <c r="M17" s="1959"/>
      <c r="N17" s="216"/>
      <c r="O17" s="1984"/>
      <c r="P17" s="1984"/>
      <c r="Q17" s="1130" t="s">
        <v>504</v>
      </c>
      <c r="R17" s="1130" t="s">
        <v>505</v>
      </c>
      <c r="S17" s="1213" t="s">
        <v>506</v>
      </c>
      <c r="T17" s="1965" t="s">
        <v>507</v>
      </c>
      <c r="U17" s="1979"/>
      <c r="V17" s="2094"/>
      <c r="W17" s="2097"/>
      <c r="X17" s="1874"/>
    </row>
    <row r="18" spans="1:29" s="1558" customFormat="1" ht="11.25" customHeight="1">
      <c r="A18" s="1181"/>
      <c r="B18" s="1181"/>
      <c r="C18" s="1181"/>
      <c r="D18" s="1181"/>
      <c r="E18" s="1181"/>
      <c r="F18" s="1207"/>
      <c r="G18" s="1207"/>
      <c r="H18" s="1207"/>
      <c r="I18" s="1157"/>
      <c r="J18" s="1158"/>
      <c r="K18" s="1173">
        <v>1</v>
      </c>
      <c r="L18" s="1199" t="s">
        <v>109</v>
      </c>
      <c r="M18" s="1174" t="s">
        <v>110</v>
      </c>
      <c r="N18" s="1156" t="str">
        <f ca="1">OFFSET(N18,0,-1)</f>
        <v>2</v>
      </c>
      <c r="O18" s="1210">
        <f ca="1">OFFSET(O18,0,-1)+1</f>
        <v>3</v>
      </c>
      <c r="P18" s="1210"/>
      <c r="Q18" s="1210">
        <f ca="1">OFFSET(Q18,0,-1)+1</f>
        <v>1</v>
      </c>
      <c r="R18" s="1210">
        <f ca="1">OFFSET(R18,0,-1)+1</f>
        <v>2</v>
      </c>
      <c r="S18" s="1210">
        <f ca="1">OFFSET(S18,0,-1)+1</f>
        <v>3</v>
      </c>
      <c r="T18" s="2086">
        <f ca="1">OFFSET(T18,0,-1)+1</f>
        <v>4</v>
      </c>
      <c r="U18" s="2086"/>
      <c r="V18" s="1210">
        <f ca="1">OFFSET(V18,0,-2)+1</f>
        <v>5</v>
      </c>
      <c r="W18" s="1156">
        <f ca="1">OFFSET(W18,0,-1)</f>
        <v>5</v>
      </c>
      <c r="X18" s="1210">
        <f ca="1">OFFSET(X18,0,-1)+1</f>
        <v>6</v>
      </c>
      <c r="Y18" s="437"/>
      <c r="Z18" s="437"/>
      <c r="AA18" s="437"/>
      <c r="AB18" s="437"/>
      <c r="AC18" s="437"/>
    </row>
    <row r="19" spans="1:29" ht="21" customHeight="1">
      <c r="A19" s="1188" t="s">
        <v>1579</v>
      </c>
      <c r="B19" s="1188" t="s">
        <v>1580</v>
      </c>
      <c r="C19" s="1188" t="s">
        <v>1581</v>
      </c>
      <c r="D19" s="1188" t="s">
        <v>1582</v>
      </c>
      <c r="E19" s="1188"/>
      <c r="F19" s="604"/>
      <c r="G19" s="604"/>
      <c r="H19" s="604"/>
      <c r="I19" s="282"/>
      <c r="J19" s="281"/>
      <c r="K19" s="276"/>
      <c r="L19" s="1214" t="e">
        <f>INDEX(PT_DIFFERENTIATION_NUM_NTAR,MATCH(A19,PT_DIFFERENTIATION_NTAR_ID,0))</f>
        <v>#N/A</v>
      </c>
      <c r="M19" s="212" t="s">
        <v>128</v>
      </c>
      <c r="N19" s="214"/>
      <c r="O19" s="2146" t="e">
        <f>INDEX(PT_DIFFERENTIATION_NTAR,MATCH(A19,PT_DIFFERENTIATION_NTAR_ID,0))</f>
        <v>#N/A</v>
      </c>
      <c r="P19" s="2146"/>
      <c r="Q19" s="2146"/>
      <c r="R19" s="2146"/>
      <c r="S19" s="2146"/>
      <c r="T19" s="2146"/>
      <c r="U19" s="2146"/>
      <c r="V19" s="2146"/>
      <c r="W19" s="2146"/>
      <c r="X19" s="1179" t="s">
        <v>459</v>
      </c>
      <c r="Z19" s="426"/>
      <c r="AA19" s="426" t="str">
        <f t="shared" ref="AA19:AA32" si="0">IF(M19="","",M19)</f>
        <v>Наименование тарифа</v>
      </c>
      <c r="AB19" s="426"/>
      <c r="AC19" s="426"/>
    </row>
    <row r="20" spans="1:29" ht="21" customHeight="1">
      <c r="A20" s="1188" t="s">
        <v>1579</v>
      </c>
      <c r="B20" s="1188" t="s">
        <v>1580</v>
      </c>
      <c r="C20" s="1188" t="s">
        <v>1581</v>
      </c>
      <c r="D20" s="1188" t="s">
        <v>1582</v>
      </c>
      <c r="E20" s="1188"/>
      <c r="F20" s="604"/>
      <c r="G20" s="604"/>
      <c r="H20" s="604"/>
      <c r="I20" s="1211"/>
      <c r="J20" s="273"/>
      <c r="K20" s="274"/>
      <c r="L20" s="1214" t="e">
        <f>INDEX(PT_DIFFERENTIATION_NUM_TER,MATCH(B19,PT_DIFFERENTIATION_TER_ID,0))</f>
        <v>#N/A</v>
      </c>
      <c r="M20" s="224" t="s">
        <v>460</v>
      </c>
      <c r="N20" s="214"/>
      <c r="O20" s="2146" t="e">
        <f>INDEX(PT_DIFFERENTIATION_TER,MATCH(B19,PT_DIFFERENTIATION_TER_ID,0))</f>
        <v>#N/A</v>
      </c>
      <c r="P20" s="2146"/>
      <c r="Q20" s="2146"/>
      <c r="R20" s="2146"/>
      <c r="S20" s="2146"/>
      <c r="T20" s="2146"/>
      <c r="U20" s="2146"/>
      <c r="V20" s="2146"/>
      <c r="W20" s="2146"/>
      <c r="X20" s="1179" t="s">
        <v>461</v>
      </c>
      <c r="Z20" s="426"/>
      <c r="AA20" s="426" t="str">
        <f t="shared" si="0"/>
        <v>Территория действия тарифа</v>
      </c>
      <c r="AB20" s="426"/>
      <c r="AC20" s="426"/>
    </row>
    <row r="21" spans="1:29" ht="22.5" customHeight="1">
      <c r="A21" s="1188" t="s">
        <v>1579</v>
      </c>
      <c r="B21" s="1188" t="s">
        <v>1580</v>
      </c>
      <c r="C21" s="1188" t="s">
        <v>1581</v>
      </c>
      <c r="D21" s="1188" t="s">
        <v>1582</v>
      </c>
      <c r="E21" s="1188"/>
      <c r="F21" s="604"/>
      <c r="G21" s="604"/>
      <c r="H21" s="604"/>
      <c r="I21" s="275"/>
      <c r="J21" s="273"/>
      <c r="K21" s="274"/>
      <c r="L21" s="1214" t="e">
        <f>INDEX(PT_DIFFERENTIATION_NUM_CS,MATCH(C19,PT_DIFFERENTIATION_CS_ID,0))</f>
        <v>#N/A</v>
      </c>
      <c r="M21" s="225" t="s">
        <v>462</v>
      </c>
      <c r="N21" s="214"/>
      <c r="O21" s="2146" t="e">
        <f>INDEX(PT_DIFFERENTIATION_CS,MATCH(C19,PT_DIFFERENTIATION_CS_ID,0))</f>
        <v>#N/A</v>
      </c>
      <c r="P21" s="2146"/>
      <c r="Q21" s="2146"/>
      <c r="R21" s="2146"/>
      <c r="S21" s="2146"/>
      <c r="T21" s="2146"/>
      <c r="U21" s="2146"/>
      <c r="V21" s="2146"/>
      <c r="W21" s="2146"/>
      <c r="X21" s="1179" t="s">
        <v>463</v>
      </c>
      <c r="Z21" s="426"/>
      <c r="AA21" s="426" t="str">
        <f t="shared" si="0"/>
        <v xml:space="preserve">Наименование системы теплоснабжения </v>
      </c>
      <c r="AB21" s="426"/>
      <c r="AC21" s="426"/>
    </row>
    <row r="22" spans="1:29" ht="21" customHeight="1">
      <c r="A22" s="1188" t="s">
        <v>1579</v>
      </c>
      <c r="B22" s="1188" t="s">
        <v>1580</v>
      </c>
      <c r="C22" s="1188" t="s">
        <v>1581</v>
      </c>
      <c r="D22" s="1188" t="s">
        <v>1582</v>
      </c>
      <c r="E22" s="1188"/>
      <c r="F22" s="604"/>
      <c r="G22" s="604"/>
      <c r="H22" s="604"/>
      <c r="I22" s="275"/>
      <c r="J22" s="273"/>
      <c r="K22" s="274"/>
      <c r="L22" s="1214" t="e">
        <f>INDEX(PT_DIFFERENTIATION_NUM_IST_TE,MATCH(D19,PT_DIFFERENTIATION_IST_TE_ID,0))</f>
        <v>#N/A</v>
      </c>
      <c r="M22" s="226" t="s">
        <v>464</v>
      </c>
      <c r="N22" s="214"/>
      <c r="O22" s="2146" t="e">
        <f>INDEX(PT_DIFFERENTIATION_IST_TE,MATCH(D19,PT_DIFFERENTIATION_IST_TE_ID,0))</f>
        <v>#N/A</v>
      </c>
      <c r="P22" s="2146"/>
      <c r="Q22" s="2146"/>
      <c r="R22" s="2146"/>
      <c r="S22" s="2146"/>
      <c r="T22" s="2146"/>
      <c r="U22" s="2146"/>
      <c r="V22" s="2146"/>
      <c r="W22" s="2146"/>
      <c r="X22" s="1179" t="s">
        <v>465</v>
      </c>
      <c r="Z22" s="426"/>
      <c r="AA22" s="426" t="str">
        <f t="shared" si="0"/>
        <v xml:space="preserve">Источник тепловой энергии  </v>
      </c>
      <c r="AB22" s="426"/>
      <c r="AC22" s="426"/>
    </row>
    <row r="23" spans="1:29" ht="94.5" customHeight="1">
      <c r="A23" s="1188" t="s">
        <v>1579</v>
      </c>
      <c r="B23" s="1188" t="s">
        <v>1580</v>
      </c>
      <c r="C23" s="1188" t="s">
        <v>1581</v>
      </c>
      <c r="D23" s="1188" t="s">
        <v>1582</v>
      </c>
      <c r="E23" s="1188"/>
      <c r="F23" s="1859" t="e">
        <f>L22&amp;".1"</f>
        <v>#N/A</v>
      </c>
      <c r="I23" s="1995">
        <v>1</v>
      </c>
      <c r="J23" s="1212"/>
      <c r="K23" s="277"/>
      <c r="L23" s="1214" t="e">
        <f>$F$23</f>
        <v>#N/A</v>
      </c>
      <c r="M23" s="200" t="s">
        <v>467</v>
      </c>
      <c r="N23" s="214"/>
      <c r="O23" s="2147"/>
      <c r="P23" s="2147"/>
      <c r="Q23" s="2147"/>
      <c r="R23" s="2147"/>
      <c r="S23" s="2147"/>
      <c r="T23" s="2147"/>
      <c r="U23" s="2147"/>
      <c r="V23" s="2147"/>
      <c r="W23" s="2147"/>
      <c r="X23" s="1179" t="s">
        <v>468</v>
      </c>
      <c r="Z23" s="426"/>
      <c r="AA23" s="426" t="str">
        <f t="shared" si="0"/>
        <v>Схема подключения теплопотребляющей установки к коллектору источника тепловой энергии</v>
      </c>
      <c r="AB23" s="426"/>
      <c r="AC23" s="426"/>
    </row>
    <row r="24" spans="1:29" ht="84" customHeight="1">
      <c r="A24" s="1188" t="s">
        <v>1579</v>
      </c>
      <c r="B24" s="1188" t="s">
        <v>1580</v>
      </c>
      <c r="C24" s="1188" t="s">
        <v>1581</v>
      </c>
      <c r="D24" s="1188" t="s">
        <v>1582</v>
      </c>
      <c r="E24" s="1188"/>
      <c r="F24" s="1859"/>
      <c r="G24" s="1859" t="e">
        <f>F23&amp;".1"</f>
        <v>#N/A</v>
      </c>
      <c r="I24" s="1995"/>
      <c r="J24" s="1995">
        <v>1</v>
      </c>
      <c r="K24" s="278"/>
      <c r="L24" s="1214" t="e">
        <f>$G$24</f>
        <v>#N/A</v>
      </c>
      <c r="M24" s="201" t="s">
        <v>470</v>
      </c>
      <c r="N24" s="214"/>
      <c r="O24" s="2148"/>
      <c r="P24" s="2149"/>
      <c r="Q24" s="2149"/>
      <c r="R24" s="2149"/>
      <c r="S24" s="2149"/>
      <c r="T24" s="2149"/>
      <c r="U24" s="2149"/>
      <c r="V24" s="2149"/>
      <c r="W24" s="2150"/>
      <c r="X24" s="1179" t="s">
        <v>471</v>
      </c>
      <c r="Z24" s="426"/>
      <c r="AA24" s="426" t="str">
        <f t="shared" si="0"/>
        <v>Группа потребителей</v>
      </c>
      <c r="AB24" s="426"/>
      <c r="AC24" s="426"/>
    </row>
    <row r="25" spans="1:29" ht="11.25" customHeight="1">
      <c r="A25" s="1188" t="s">
        <v>1579</v>
      </c>
      <c r="B25" s="1188" t="s">
        <v>1580</v>
      </c>
      <c r="C25" s="1188" t="s">
        <v>1581</v>
      </c>
      <c r="D25" s="1188" t="s">
        <v>1582</v>
      </c>
      <c r="E25" s="1188"/>
      <c r="F25" s="1859"/>
      <c r="G25" s="1859"/>
      <c r="H25" s="1859" t="e">
        <f>G24&amp;".1"</f>
        <v>#N/A</v>
      </c>
      <c r="I25" s="1995"/>
      <c r="J25" s="1995"/>
      <c r="K25" s="278">
        <v>1</v>
      </c>
      <c r="L25" s="1214" t="e">
        <f>$H$25</f>
        <v>#N/A</v>
      </c>
      <c r="M25" s="1180"/>
      <c r="N25" s="214"/>
      <c r="O25" s="664"/>
      <c r="P25" s="246"/>
      <c r="Q25" s="664"/>
      <c r="R25" s="1178"/>
      <c r="S25" s="2080"/>
      <c r="T25" s="1885" t="s">
        <v>59</v>
      </c>
      <c r="U25" s="2080"/>
      <c r="V25" s="1885" t="s">
        <v>57</v>
      </c>
      <c r="W25" s="246"/>
      <c r="X25" s="2098" t="s">
        <v>473</v>
      </c>
      <c r="Y25" s="437" t="e">
        <f ca="1">STRCHECKDATE(O26:W26)</f>
        <v>#NAME?</v>
      </c>
      <c r="Z25" s="426"/>
      <c r="AA25" s="426" t="str">
        <f t="shared" si="0"/>
        <v/>
      </c>
      <c r="AB25" s="426"/>
      <c r="AC25" s="426"/>
    </row>
    <row r="26" spans="1:29" ht="11.25" customHeight="1">
      <c r="A26" s="1188" t="s">
        <v>1579</v>
      </c>
      <c r="B26" s="1188" t="s">
        <v>1580</v>
      </c>
      <c r="C26" s="1188" t="s">
        <v>1581</v>
      </c>
      <c r="D26" s="1188" t="s">
        <v>1582</v>
      </c>
      <c r="E26" s="1188"/>
      <c r="F26" s="1859"/>
      <c r="G26" s="1859"/>
      <c r="H26" s="1859"/>
      <c r="I26" s="1995"/>
      <c r="J26" s="1995"/>
      <c r="K26" s="278"/>
      <c r="L26" s="1215"/>
      <c r="M26" s="214"/>
      <c r="N26" s="214"/>
      <c r="O26" s="246"/>
      <c r="P26" s="246"/>
      <c r="Q26" s="246"/>
      <c r="R26" s="250" t="str">
        <f>S25&amp;"-"&amp;U25</f>
        <v>-</v>
      </c>
      <c r="S26" s="2081"/>
      <c r="T26" s="1885"/>
      <c r="U26" s="2081"/>
      <c r="V26" s="1885"/>
      <c r="W26" s="246"/>
      <c r="X26" s="2099"/>
      <c r="Z26" s="426"/>
      <c r="AA26" s="426" t="str">
        <f t="shared" si="0"/>
        <v/>
      </c>
      <c r="AB26" s="426"/>
      <c r="AC26" s="426"/>
    </row>
    <row r="27" spans="1:29" ht="15" customHeight="1">
      <c r="A27" s="1188" t="s">
        <v>1579</v>
      </c>
      <c r="B27" s="1188" t="s">
        <v>1580</v>
      </c>
      <c r="C27" s="1188" t="s">
        <v>1581</v>
      </c>
      <c r="D27" s="1188" t="s">
        <v>1582</v>
      </c>
      <c r="E27" s="1188"/>
      <c r="F27" s="1859"/>
      <c r="G27" s="1859"/>
      <c r="I27" s="1995"/>
      <c r="J27" s="1995"/>
      <c r="K27" s="277"/>
      <c r="L27" s="1200"/>
      <c r="M27" s="203" t="s">
        <v>474</v>
      </c>
      <c r="N27" s="291"/>
      <c r="O27" s="291"/>
      <c r="P27" s="291"/>
      <c r="Q27" s="291"/>
      <c r="R27" s="291"/>
      <c r="S27" s="291"/>
      <c r="T27" s="291"/>
      <c r="U27" s="291"/>
      <c r="V27" s="291"/>
      <c r="W27" s="245"/>
      <c r="X27" s="2100"/>
      <c r="Z27" s="426"/>
      <c r="AA27" s="426" t="str">
        <f t="shared" si="0"/>
        <v>Добавить вид теплоносителя (параметры теплоносителя)</v>
      </c>
      <c r="AB27" s="426"/>
      <c r="AC27" s="426"/>
    </row>
    <row r="28" spans="1:29" ht="15" customHeight="1">
      <c r="A28" s="1188" t="s">
        <v>1579</v>
      </c>
      <c r="B28" s="1188" t="s">
        <v>1580</v>
      </c>
      <c r="C28" s="1188" t="s">
        <v>1581</v>
      </c>
      <c r="D28" s="1188" t="s">
        <v>1582</v>
      </c>
      <c r="E28" s="1188"/>
      <c r="F28" s="1859"/>
      <c r="I28" s="1995"/>
      <c r="J28" s="1212"/>
      <c r="K28" s="277"/>
      <c r="L28" s="1200"/>
      <c r="M28" s="202" t="s">
        <v>475</v>
      </c>
      <c r="N28" s="291"/>
      <c r="O28" s="291"/>
      <c r="P28" s="291"/>
      <c r="Q28" s="291"/>
      <c r="R28" s="291"/>
      <c r="S28" s="291"/>
      <c r="T28" s="291"/>
      <c r="U28" s="291"/>
      <c r="V28" s="290"/>
      <c r="W28" s="291"/>
      <c r="X28" s="217"/>
      <c r="Z28" s="426"/>
      <c r="AA28" s="426" t="str">
        <f t="shared" si="0"/>
        <v>Добавить группу потребителей</v>
      </c>
      <c r="AB28" s="426"/>
      <c r="AC28" s="426"/>
    </row>
    <row r="29" spans="1:29" ht="14.25" customHeight="1">
      <c r="A29" s="1188" t="s">
        <v>1579</v>
      </c>
      <c r="B29" s="1188" t="s">
        <v>1580</v>
      </c>
      <c r="C29" s="1188" t="s">
        <v>1581</v>
      </c>
      <c r="D29" s="1188" t="s">
        <v>1582</v>
      </c>
      <c r="E29" s="1188"/>
      <c r="F29" s="604"/>
      <c r="G29" s="604"/>
      <c r="H29" s="435"/>
      <c r="I29" s="281"/>
      <c r="J29" s="299"/>
      <c r="K29" s="276"/>
      <c r="L29" s="1200"/>
      <c r="M29" s="288" t="s">
        <v>476</v>
      </c>
      <c r="N29" s="291"/>
      <c r="O29" s="291"/>
      <c r="P29" s="291"/>
      <c r="Q29" s="291"/>
      <c r="R29" s="291"/>
      <c r="S29" s="291"/>
      <c r="T29" s="291"/>
      <c r="U29" s="291"/>
      <c r="V29" s="290"/>
      <c r="W29" s="291"/>
      <c r="X29" s="217"/>
      <c r="Z29" s="426"/>
      <c r="AA29" s="426" t="str">
        <f t="shared" si="0"/>
        <v>Добавить схему подключения</v>
      </c>
      <c r="AB29" s="426"/>
      <c r="AC29" s="426"/>
    </row>
    <row r="30" spans="1:29" ht="14.25" customHeight="1">
      <c r="A30" s="1188" t="s">
        <v>1579</v>
      </c>
      <c r="B30" s="1188" t="s">
        <v>1580</v>
      </c>
      <c r="C30" s="1188" t="s">
        <v>1581</v>
      </c>
      <c r="D30" s="1188"/>
      <c r="E30" s="1188" t="s">
        <v>1571</v>
      </c>
      <c r="F30" s="604"/>
      <c r="G30" s="604"/>
      <c r="H30" s="435"/>
      <c r="I30" s="281"/>
      <c r="J30" s="299"/>
      <c r="K30" s="276"/>
      <c r="L30" s="1201"/>
      <c r="M30" s="1190"/>
      <c r="N30" s="1191"/>
      <c r="O30" s="1191"/>
      <c r="P30" s="1191"/>
      <c r="Q30" s="1191"/>
      <c r="R30" s="1191"/>
      <c r="S30" s="1191"/>
      <c r="T30" s="1191"/>
      <c r="U30" s="1191"/>
      <c r="V30" s="1192"/>
      <c r="W30" s="1191"/>
      <c r="X30" s="1193"/>
      <c r="Z30" s="426"/>
      <c r="AA30" s="426" t="str">
        <f t="shared" si="0"/>
        <v/>
      </c>
      <c r="AB30" s="426"/>
      <c r="AC30" s="426"/>
    </row>
    <row r="31" spans="1:29" ht="14.25" customHeight="1">
      <c r="A31" s="1188" t="s">
        <v>1579</v>
      </c>
      <c r="B31" s="1188" t="s">
        <v>1580</v>
      </c>
      <c r="C31" s="1188"/>
      <c r="D31" s="1188"/>
      <c r="E31" s="1188" t="s">
        <v>1572</v>
      </c>
      <c r="F31" s="1176"/>
      <c r="G31" s="1176"/>
      <c r="H31" s="435"/>
      <c r="I31" s="279"/>
      <c r="J31" s="299"/>
      <c r="K31" s="280"/>
      <c r="L31" s="1201"/>
      <c r="M31" s="1194"/>
      <c r="N31" s="1191"/>
      <c r="O31" s="1191"/>
      <c r="P31" s="1191"/>
      <c r="Q31" s="1191"/>
      <c r="R31" s="1191"/>
      <c r="S31" s="1191"/>
      <c r="T31" s="1191"/>
      <c r="U31" s="1191"/>
      <c r="V31" s="1192"/>
      <c r="W31" s="1191"/>
      <c r="X31" s="1193"/>
      <c r="Z31" s="426"/>
      <c r="AA31" s="426" t="str">
        <f t="shared" si="0"/>
        <v/>
      </c>
      <c r="AB31" s="426"/>
      <c r="AC31" s="426"/>
    </row>
    <row r="32" spans="1:29" ht="14.25" customHeight="1">
      <c r="A32" s="1188" t="s">
        <v>1583</v>
      </c>
      <c r="B32" s="1188"/>
      <c r="C32" s="1188"/>
      <c r="D32" s="1188"/>
      <c r="E32" s="1188" t="s">
        <v>104</v>
      </c>
      <c r="F32" s="1176"/>
      <c r="G32" s="1176"/>
      <c r="H32" s="435"/>
      <c r="I32" s="281"/>
      <c r="J32" s="299"/>
      <c r="K32" s="276"/>
      <c r="L32" s="1201"/>
      <c r="M32" s="1195"/>
      <c r="N32" s="1191"/>
      <c r="O32" s="1191"/>
      <c r="P32" s="1191"/>
      <c r="Q32" s="1191"/>
      <c r="R32" s="1191"/>
      <c r="S32" s="1191"/>
      <c r="T32" s="1191"/>
      <c r="U32" s="1191"/>
      <c r="V32" s="1192"/>
      <c r="W32" s="1191"/>
      <c r="X32" s="1193"/>
      <c r="Z32" s="426"/>
      <c r="AA32" s="426" t="str">
        <f t="shared" si="0"/>
        <v/>
      </c>
      <c r="AB32" s="426"/>
      <c r="AC32" s="426"/>
    </row>
    <row r="33" spans="1:29" s="1807" customFormat="1" ht="11.25" customHeight="1">
      <c r="A33" s="1188"/>
      <c r="B33" s="1188"/>
      <c r="C33" s="1188"/>
      <c r="D33" s="1188"/>
      <c r="E33" s="1188" t="s">
        <v>436</v>
      </c>
      <c r="F33" s="1189"/>
      <c r="G33" s="1177"/>
      <c r="H33" s="435"/>
      <c r="L33" s="1202"/>
      <c r="M33" s="1196"/>
      <c r="N33" s="1191"/>
      <c r="O33" s="1191"/>
      <c r="P33" s="1191"/>
      <c r="Q33" s="1191"/>
      <c r="R33" s="1191"/>
      <c r="S33" s="1191"/>
      <c r="T33" s="1191"/>
      <c r="U33" s="1191"/>
      <c r="V33" s="1192"/>
      <c r="W33" s="1191"/>
      <c r="X33" s="1193"/>
      <c r="Y33" s="306"/>
      <c r="Z33" s="306"/>
      <c r="AA33" s="306"/>
      <c r="AB33" s="306"/>
      <c r="AC33" s="306"/>
    </row>
    <row r="34" spans="1:29" ht="11.25" customHeight="1">
      <c r="F34" s="1057"/>
      <c r="G34" s="1057"/>
      <c r="H34" s="435"/>
      <c r="I34" s="1057"/>
      <c r="J34" s="1057"/>
      <c r="K34" s="1057"/>
      <c r="Y34" s="1057"/>
      <c r="Z34" s="1057"/>
      <c r="AA34" s="1057"/>
      <c r="AB34" s="1057"/>
      <c r="AC34" s="1057"/>
    </row>
    <row r="35" spans="1:29" ht="27" customHeight="1">
      <c r="H35" s="435"/>
      <c r="L35" s="1209" t="s">
        <v>508</v>
      </c>
      <c r="M35" s="2075" t="s">
        <v>515</v>
      </c>
      <c r="N35" s="2075"/>
      <c r="O35" s="2075"/>
      <c r="P35" s="2075"/>
      <c r="Q35" s="2075"/>
      <c r="R35" s="2075"/>
      <c r="S35" s="2075"/>
      <c r="T35" s="2075"/>
      <c r="U35" s="2075"/>
      <c r="V35" s="2075"/>
      <c r="W35" s="2075"/>
      <c r="X35" s="2075"/>
    </row>
    <row r="36" spans="1:29" ht="104.25" customHeight="1">
      <c r="F36" s="1224"/>
      <c r="G36" s="1224"/>
      <c r="H36" s="435"/>
      <c r="I36" s="1224"/>
      <c r="M36" s="2075" t="s">
        <v>510</v>
      </c>
      <c r="N36" s="2075"/>
      <c r="O36" s="2075"/>
      <c r="P36" s="2075"/>
      <c r="Q36" s="2075"/>
      <c r="R36" s="2075"/>
      <c r="S36" s="2075"/>
      <c r="T36" s="2075"/>
      <c r="U36" s="2075"/>
      <c r="V36" s="2075"/>
      <c r="W36" s="2075"/>
      <c r="X36" s="2075"/>
    </row>
    <row r="37" spans="1:29" ht="14.25" customHeight="1">
      <c r="H37" s="435"/>
    </row>
    <row r="38" spans="1:29" ht="14.25" customHeight="1">
      <c r="H38" s="435"/>
    </row>
    <row r="39" spans="1:29" ht="14.25" customHeight="1">
      <c r="H39" s="435"/>
    </row>
    <row r="40" spans="1:29" ht="14.25" customHeight="1">
      <c r="H40" s="435"/>
    </row>
  </sheetData>
  <sheetProtection formatColumns="0" formatRows="0" insertRows="0" deleteColumns="0" deleteRows="0" sort="0" autoFilter="0"/>
  <mergeCells count="39">
    <mergeCell ref="M35:X35"/>
    <mergeCell ref="M36:X36"/>
    <mergeCell ref="S25:S26"/>
    <mergeCell ref="T25:T26"/>
    <mergeCell ref="U25:U26"/>
    <mergeCell ref="V25:V26"/>
    <mergeCell ref="X25:X27"/>
    <mergeCell ref="X14:X17"/>
    <mergeCell ref="L15:L17"/>
    <mergeCell ref="M15:M17"/>
    <mergeCell ref="O15:U15"/>
    <mergeCell ref="V15:V17"/>
    <mergeCell ref="W15:W17"/>
    <mergeCell ref="O16:O17"/>
    <mergeCell ref="P16:P17"/>
    <mergeCell ref="Q16:R16"/>
    <mergeCell ref="S16:U16"/>
    <mergeCell ref="T17:U17"/>
    <mergeCell ref="L5:U5"/>
    <mergeCell ref="L6:U6"/>
    <mergeCell ref="O8:U8"/>
    <mergeCell ref="O9:U9"/>
    <mergeCell ref="O10:U10"/>
    <mergeCell ref="O11:U11"/>
    <mergeCell ref="L12:M12"/>
    <mergeCell ref="O13:V13"/>
    <mergeCell ref="L14:W14"/>
    <mergeCell ref="T18:U18"/>
    <mergeCell ref="O19:W19"/>
    <mergeCell ref="O20:W20"/>
    <mergeCell ref="O21:W21"/>
    <mergeCell ref="O22:W22"/>
    <mergeCell ref="F23:F28"/>
    <mergeCell ref="I23:I28"/>
    <mergeCell ref="O23:W23"/>
    <mergeCell ref="G24:G27"/>
    <mergeCell ref="J24:J27"/>
    <mergeCell ref="O24:W24"/>
    <mergeCell ref="H25:H26"/>
  </mergeCells>
  <dataValidations count="8">
    <dataValidation allowBlank="1" sqref="L131099:X131105 L196635:X196641 L262171:X262177 L327707:X327713 L393243:X393249 L458779:X458785 L524315:X524321 L589851:X589857 L655387:X655393 L720923:X720929 L786459:X786465 L851995:X852001 L917531:X917537 L983067:X983073 L65563:X65569"/>
    <dataValidation allowBlank="1" promptTitle="checkPeriodRange" sqref="R26 R65562 R131098 R196634 R262170 R327706 R393242 R458778 R524314 R589850 R655386 R720922 R786458 R851994 R917530 R983066"/>
    <dataValidation allowBlank="1" showInputMessage="1" showErrorMessage="1" prompt="Для выбора выполните двойной щелчок левой клавиши мыши по соответствующей ячейке." sqref="T65561 T131097 T196633 T262169 T327705 T393241 T458777 T524313 T589849 T655385 T720921 T786457 T851993 T917529 T983065 V589849 V655385 V720921 V786457 V851993 V917529 V983065 V65561 V131097 V458777 V196633 V262169 V327705 V393241 V25 T25 V52431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S65561 S131097 S196633 S262169 S327705 S393241 S458777 S524313 S589849 S655385 S720921 S786457 S851993 S917529 S983065 U65561 U131097 U196633 U262169 U327705 U393241 U458777 U524313 U589849 U655385 U720921 U786457 U851993 U917529 U983065 U25 S25"/>
    <dataValidation type="list" allowBlank="1" showInputMessage="1" showErrorMessage="1" errorTitle="Ошибка" error="Выберите значение из списка" sqref="M65561 M131097 M196633 M262169 M327705 M393241 M458777 M524313 M589849 M655385 M720921 M786457 M851993 M917529 M983065">
      <formula1>kind_of_heat_transfer</formula1>
    </dataValidation>
    <dataValidation type="textLength" operator="lessThanOrEqual" allowBlank="1" showInputMessage="1" showErrorMessage="1" errorTitle="Ошибка" error="Допускается ввод не более 900 символов!" sqref="X65555:X65562 X131091:X131098 X196627:X196634 X262163:X262170 X327699:X327706 X393235:X393242 X458771:X458778 X524307:X524314 X589843:X589850 X655379:X655386 X720915:X720922 X786451:X786458 X851987:X851994 X917523:X917530 X983059:X983066">
      <formula1>900</formula1>
    </dataValidation>
    <dataValidation type="list" allowBlank="1" showInputMessage="1" errorTitle="Ошибка" error="Выберите значение из списка" prompt="Выберите значение из списка" sqref="O983064:W983064 O65560:W65560 O131096:W131096 O196632:W196632 O262168:W262168 O327704:W327704 O393240:W393240 O458776:W458776 O524312:W524312 O589848:W589848 O655384:W655384 O720920:W720920 O786456:W786456 O851992:W851992 O917528:W917528">
      <formula1>kind_of_cons</formula1>
    </dataValidation>
    <dataValidation type="list" allowBlank="1" showInputMessage="1" showErrorMessage="1" errorTitle="Ошибка" error="Выберите значение из списка" sqref="O983063:P983063 O65559:P65559 O131095:P131095 O196631:P196631 O262167:P262167 O327703:P327703 O393239:P393239 O458775:P458775 O524311:P524311 O589847:P589847 O655383:P655383 O720919:P720919 O786455:P786455 O851991:P851991 O917527:P917527">
      <formula1>kind_of_scheme_in</formula1>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AC32"/>
  <sheetViews>
    <sheetView showGridLines="0" topLeftCell="A4" workbookViewId="0"/>
  </sheetViews>
  <sheetFormatPr defaultColWidth="10.5703125" defaultRowHeight="14.25" customHeight="1"/>
  <cols>
    <col min="1" max="6" width="10.5703125" style="1559"/>
    <col min="7" max="8" width="9.140625" style="436" customWidth="1"/>
    <col min="9" max="9" width="3.7109375" style="1803" customWidth="1"/>
    <col min="10" max="11" width="3.7109375" style="265" customWidth="1"/>
    <col min="12" max="12" width="12.7109375" style="1552" customWidth="1"/>
    <col min="13" max="13" width="47.42578125" style="1552" customWidth="1"/>
    <col min="14" max="14" width="2.7109375" style="1552" hidden="1" customWidth="1"/>
    <col min="15" max="18" width="23.7109375" style="1552" customWidth="1"/>
    <col min="19" max="19" width="11.7109375" style="1552" customWidth="1"/>
    <col min="20" max="20" width="3.7109375" style="1552" customWidth="1"/>
    <col min="21" max="21" width="11.7109375" style="1552" customWidth="1"/>
    <col min="22" max="22" width="8.5703125" style="1552" hidden="1" customWidth="1"/>
    <col min="23" max="23" width="4.7109375" style="1552" customWidth="1"/>
    <col min="24" max="24" width="115.7109375" style="1552" customWidth="1"/>
    <col min="25" max="29" width="10.5703125" style="1559"/>
  </cols>
  <sheetData>
    <row r="1" spans="1:29" ht="14.25" hidden="1" customHeight="1"/>
    <row r="2" spans="1:29" ht="14.25" hidden="1" customHeight="1"/>
    <row r="3" spans="1:29" ht="14.25" hidden="1" customHeight="1"/>
    <row r="4" spans="1:29" ht="14.25" customHeight="1">
      <c r="J4" s="300"/>
      <c r="K4" s="300"/>
      <c r="L4" s="286"/>
      <c r="M4" s="286"/>
      <c r="N4" s="286"/>
      <c r="O4" s="435"/>
      <c r="P4" s="435"/>
      <c r="Q4" s="435"/>
      <c r="R4" s="435"/>
      <c r="S4" s="435"/>
      <c r="T4" s="435"/>
      <c r="U4" s="435"/>
      <c r="V4" s="286"/>
    </row>
    <row r="5" spans="1:29" ht="14.25" customHeight="1">
      <c r="J5" s="300"/>
      <c r="K5" s="300"/>
      <c r="L5" s="2156" t="s">
        <v>1584</v>
      </c>
      <c r="M5" s="2156"/>
      <c r="N5" s="2156"/>
      <c r="O5" s="2156"/>
      <c r="P5" s="2156"/>
      <c r="Q5" s="2156"/>
      <c r="R5" s="2156"/>
      <c r="S5" s="2156"/>
      <c r="T5" s="2156"/>
      <c r="U5" s="192"/>
      <c r="V5" s="192"/>
    </row>
    <row r="6" spans="1:29" ht="14.25" customHeight="1">
      <c r="J6" s="300"/>
      <c r="K6" s="300"/>
      <c r="L6" s="286"/>
      <c r="M6" s="286"/>
      <c r="N6" s="286"/>
      <c r="O6" s="242"/>
      <c r="P6" s="242"/>
      <c r="Q6" s="242"/>
      <c r="R6" s="242"/>
      <c r="S6" s="242"/>
      <c r="T6" s="242"/>
      <c r="U6" s="286"/>
    </row>
    <row r="7" spans="1:29" s="1773" customFormat="1" ht="22.5" customHeight="1">
      <c r="A7" s="292"/>
      <c r="B7" s="292"/>
      <c r="C7" s="292"/>
      <c r="D7" s="292"/>
      <c r="E7" s="292"/>
      <c r="F7" s="292"/>
      <c r="G7" s="292"/>
      <c r="H7" s="292"/>
      <c r="L7" s="193"/>
      <c r="M7" s="209" t="s">
        <v>40</v>
      </c>
      <c r="N7" s="218"/>
      <c r="O7" s="2157" t="e">
        <f>IF(NameOrPr_ch="",IF(NameOrPr="","",NameOrPr),NameOrPr_ch)</f>
        <v>#NAME?</v>
      </c>
      <c r="P7" s="2158"/>
      <c r="Q7" s="2158"/>
      <c r="R7" s="2158"/>
      <c r="S7" s="2158"/>
      <c r="T7" s="2159"/>
      <c r="U7" s="1159"/>
      <c r="Y7" s="292"/>
      <c r="Z7" s="292"/>
      <c r="AA7" s="292"/>
      <c r="AB7" s="292"/>
      <c r="AC7" s="292"/>
    </row>
    <row r="8" spans="1:29" s="1773" customFormat="1" ht="18.75" customHeight="1">
      <c r="A8" s="292"/>
      <c r="B8" s="292"/>
      <c r="C8" s="292"/>
      <c r="D8" s="292"/>
      <c r="E8" s="292"/>
      <c r="F8" s="292"/>
      <c r="G8" s="292"/>
      <c r="H8" s="292"/>
      <c r="L8" s="193"/>
      <c r="M8" s="209" t="s">
        <v>483</v>
      </c>
      <c r="N8" s="218"/>
      <c r="O8" s="2157" t="e">
        <f>IF(datePr_ch="",IF(datePr="","",datePr),datePr_ch)</f>
        <v>#NAME?</v>
      </c>
      <c r="P8" s="2158"/>
      <c r="Q8" s="2158"/>
      <c r="R8" s="2158"/>
      <c r="S8" s="2158"/>
      <c r="T8" s="2159"/>
      <c r="U8" s="1159"/>
      <c r="Y8" s="292"/>
      <c r="Z8" s="292"/>
      <c r="AA8" s="292"/>
      <c r="AB8" s="292"/>
      <c r="AC8" s="292"/>
    </row>
    <row r="9" spans="1:29" s="1773" customFormat="1" ht="18.75" customHeight="1">
      <c r="A9" s="292"/>
      <c r="B9" s="292"/>
      <c r="C9" s="292"/>
      <c r="D9" s="292"/>
      <c r="E9" s="292"/>
      <c r="F9" s="292"/>
      <c r="G9" s="292"/>
      <c r="H9" s="292"/>
      <c r="L9" s="244"/>
      <c r="M9" s="209" t="s">
        <v>484</v>
      </c>
      <c r="N9" s="218"/>
      <c r="O9" s="2157" t="e">
        <f>IF(numberPr_ch="",IF(numberPr="","",numberPr),numberPr_ch)</f>
        <v>#NAME?</v>
      </c>
      <c r="P9" s="2158"/>
      <c r="Q9" s="2158"/>
      <c r="R9" s="2158"/>
      <c r="S9" s="2158"/>
      <c r="T9" s="2159"/>
      <c r="U9" s="1159"/>
      <c r="Y9" s="292"/>
      <c r="Z9" s="292"/>
      <c r="AA9" s="292"/>
      <c r="AB9" s="292"/>
      <c r="AC9" s="292"/>
    </row>
    <row r="10" spans="1:29" s="1773" customFormat="1" ht="18.75" customHeight="1">
      <c r="A10" s="292"/>
      <c r="B10" s="292"/>
      <c r="C10" s="292"/>
      <c r="D10" s="292"/>
      <c r="E10" s="292"/>
      <c r="F10" s="292"/>
      <c r="G10" s="292"/>
      <c r="H10" s="292"/>
      <c r="L10" s="244"/>
      <c r="M10" s="209" t="s">
        <v>41</v>
      </c>
      <c r="N10" s="218"/>
      <c r="O10" s="2157" t="e">
        <f>IF(IstPub_ch="",IF(IstPub="","",IstPub),IstPub_ch)</f>
        <v>#NAME?</v>
      </c>
      <c r="P10" s="2158"/>
      <c r="Q10" s="2158"/>
      <c r="R10" s="2158"/>
      <c r="S10" s="2158"/>
      <c r="T10" s="2159"/>
      <c r="U10" s="1159"/>
      <c r="Y10" s="292"/>
      <c r="Z10" s="292"/>
      <c r="AA10" s="292"/>
      <c r="AB10" s="292"/>
      <c r="AC10" s="292"/>
    </row>
    <row r="11" spans="1:29" s="1773" customFormat="1" ht="18.75" hidden="1" customHeight="1">
      <c r="A11" s="1163"/>
      <c r="B11" s="1163"/>
      <c r="C11" s="1163"/>
      <c r="D11" s="1163"/>
      <c r="E11" s="1163"/>
      <c r="F11" s="1163"/>
      <c r="G11" s="1163"/>
      <c r="H11" s="1163"/>
      <c r="L11" s="244"/>
      <c r="M11" s="241"/>
      <c r="O11" s="1164"/>
      <c r="P11" s="1164"/>
      <c r="Q11" s="292" t="s">
        <v>1585</v>
      </c>
      <c r="R11" s="292" t="s">
        <v>1586</v>
      </c>
      <c r="S11" s="1164"/>
      <c r="T11" s="1164"/>
      <c r="U11" s="1159"/>
      <c r="Y11" s="1163"/>
      <c r="Z11" s="1163"/>
      <c r="AA11" s="1163"/>
      <c r="AB11" s="1163"/>
      <c r="AC11" s="1163"/>
    </row>
    <row r="12" spans="1:29" s="1773" customFormat="1" ht="11.25" hidden="1" customHeight="1">
      <c r="A12" s="292"/>
      <c r="B12" s="292"/>
      <c r="C12" s="292"/>
      <c r="D12" s="292"/>
      <c r="E12" s="292"/>
      <c r="F12" s="292"/>
      <c r="G12" s="292"/>
      <c r="H12" s="292"/>
      <c r="L12" s="2151"/>
      <c r="M12" s="2151"/>
      <c r="N12" s="1126"/>
      <c r="O12" s="248"/>
      <c r="P12" s="248"/>
      <c r="Q12" s="248"/>
      <c r="R12" s="248"/>
      <c r="S12" s="248"/>
      <c r="T12" s="248"/>
      <c r="U12" s="1162"/>
      <c r="V12" s="194" t="s">
        <v>487</v>
      </c>
      <c r="Y12" s="292"/>
      <c r="Z12" s="292"/>
      <c r="AA12" s="292"/>
      <c r="AB12" s="292"/>
      <c r="AC12" s="292"/>
    </row>
    <row r="13" spans="1:29" ht="14.25" customHeight="1">
      <c r="J13" s="300"/>
      <c r="K13" s="300"/>
      <c r="L13" s="286"/>
      <c r="M13" s="286"/>
      <c r="N13" s="286"/>
      <c r="O13" s="1165"/>
      <c r="P13" s="1165"/>
      <c r="Q13" s="2154"/>
      <c r="R13" s="2154"/>
      <c r="S13" s="2154"/>
      <c r="T13" s="2154"/>
      <c r="U13" s="2154"/>
      <c r="V13" s="2154"/>
    </row>
    <row r="14" spans="1:29" ht="14.25" customHeight="1">
      <c r="J14" s="300"/>
      <c r="K14" s="300"/>
      <c r="L14" s="1874" t="s">
        <v>291</v>
      </c>
      <c r="M14" s="1874"/>
      <c r="N14" s="1874"/>
      <c r="O14" s="1874"/>
      <c r="P14" s="1874"/>
      <c r="Q14" s="1874"/>
      <c r="R14" s="1874"/>
      <c r="S14" s="1874"/>
      <c r="T14" s="1874"/>
      <c r="U14" s="1874"/>
      <c r="V14" s="1874"/>
      <c r="W14" s="1874"/>
      <c r="X14" s="1874" t="s">
        <v>292</v>
      </c>
    </row>
    <row r="15" spans="1:29" ht="14.25" customHeight="1">
      <c r="J15" s="300"/>
      <c r="K15" s="300"/>
      <c r="L15" s="1959" t="s">
        <v>88</v>
      </c>
      <c r="M15" s="1959" t="s">
        <v>1587</v>
      </c>
      <c r="N15" s="1125"/>
      <c r="O15" s="1959" t="s">
        <v>1588</v>
      </c>
      <c r="P15" s="1958" t="s">
        <v>1589</v>
      </c>
      <c r="Q15" s="1958" t="s">
        <v>1569</v>
      </c>
      <c r="R15" s="1958"/>
      <c r="S15" s="1958"/>
      <c r="T15" s="1958"/>
      <c r="U15" s="1958"/>
      <c r="V15" s="1959" t="s">
        <v>490</v>
      </c>
      <c r="W15" s="2155" t="s">
        <v>1570</v>
      </c>
      <c r="X15" s="1874"/>
    </row>
    <row r="16" spans="1:29" ht="25.5" customHeight="1">
      <c r="J16" s="300"/>
      <c r="K16" s="300"/>
      <c r="L16" s="1959"/>
      <c r="M16" s="1959"/>
      <c r="N16" s="1125"/>
      <c r="O16" s="1959"/>
      <c r="P16" s="1958"/>
      <c r="Q16" s="1958" t="s">
        <v>1590</v>
      </c>
      <c r="R16" s="1958"/>
      <c r="S16" s="1874" t="s">
        <v>514</v>
      </c>
      <c r="T16" s="1874"/>
      <c r="U16" s="1874"/>
      <c r="V16" s="1959"/>
      <c r="W16" s="2155"/>
      <c r="X16" s="1874"/>
    </row>
    <row r="17" spans="1:29" ht="14.25" customHeight="1">
      <c r="J17" s="300"/>
      <c r="K17" s="300"/>
      <c r="L17" s="1959"/>
      <c r="M17" s="1959"/>
      <c r="N17" s="1125"/>
      <c r="O17" s="1959"/>
      <c r="P17" s="1958"/>
      <c r="Q17" s="1125" t="s">
        <v>551</v>
      </c>
      <c r="R17" s="1125" t="s">
        <v>552</v>
      </c>
      <c r="S17" s="1129" t="s">
        <v>506</v>
      </c>
      <c r="T17" s="1926" t="s">
        <v>507</v>
      </c>
      <c r="U17" s="1926"/>
      <c r="V17" s="1959"/>
      <c r="W17" s="2155"/>
      <c r="X17" s="1874"/>
    </row>
    <row r="18" spans="1:29" ht="14.25" customHeight="1">
      <c r="J18" s="300"/>
      <c r="K18" s="206">
        <v>1</v>
      </c>
      <c r="L18" s="376" t="s">
        <v>109</v>
      </c>
      <c r="M18" s="376" t="s">
        <v>110</v>
      </c>
      <c r="N18" s="1161" t="s">
        <v>110</v>
      </c>
      <c r="O18" s="1127">
        <f t="shared" ref="O18:T18" ca="1" si="0">OFFSET(O18,0,-1)+1</f>
        <v>3</v>
      </c>
      <c r="P18" s="1127">
        <f t="shared" ca="1" si="0"/>
        <v>4</v>
      </c>
      <c r="Q18" s="1127">
        <f t="shared" ca="1" si="0"/>
        <v>5</v>
      </c>
      <c r="R18" s="1127">
        <f t="shared" ca="1" si="0"/>
        <v>6</v>
      </c>
      <c r="S18" s="1127">
        <f t="shared" ca="1" si="0"/>
        <v>7</v>
      </c>
      <c r="T18" s="2152">
        <f t="shared" ca="1" si="0"/>
        <v>8</v>
      </c>
      <c r="U18" s="2152"/>
      <c r="V18" s="1127">
        <f ca="1">OFFSET(V18,0,-2)+1</f>
        <v>9</v>
      </c>
      <c r="X18" s="1127">
        <f ca="1">OFFSET(X18,0,-2)+1</f>
        <v>10</v>
      </c>
    </row>
    <row r="19" spans="1:29" ht="22.5" customHeight="1">
      <c r="A19" s="1995">
        <v>1</v>
      </c>
      <c r="B19" s="444"/>
      <c r="C19" s="444"/>
      <c r="D19" s="444"/>
      <c r="E19" s="444"/>
      <c r="F19" s="444"/>
      <c r="G19" s="307"/>
      <c r="H19" s="307"/>
      <c r="I19" s="282"/>
      <c r="J19" s="300"/>
      <c r="K19" s="300"/>
      <c r="L19" s="1134" t="e">
        <f ca="1">MERGEVALUE(A19)</f>
        <v>#NAME?</v>
      </c>
      <c r="M19" s="212" t="s">
        <v>128</v>
      </c>
      <c r="N19" s="231"/>
      <c r="O19" s="2153"/>
      <c r="P19" s="2153"/>
      <c r="Q19" s="2153"/>
      <c r="R19" s="2153"/>
      <c r="S19" s="2153"/>
      <c r="T19" s="2153"/>
      <c r="U19" s="2153"/>
      <c r="V19" s="2153"/>
      <c r="W19" s="2153"/>
      <c r="X19" s="266" t="s">
        <v>459</v>
      </c>
    </row>
    <row r="20" spans="1:29" ht="22.5" customHeight="1">
      <c r="A20" s="1995"/>
      <c r="B20" s="1995">
        <v>1</v>
      </c>
      <c r="C20" s="444"/>
      <c r="D20" s="444"/>
      <c r="E20" s="444"/>
      <c r="F20" s="444"/>
      <c r="G20" s="309"/>
      <c r="H20" s="1128"/>
      <c r="I20" s="284"/>
      <c r="J20" s="1135"/>
      <c r="K20" s="1057"/>
      <c r="L20" s="1134" t="e">
        <f ca="1">MERGEVALUE(A20)&amp;"."&amp;MERGEVALUE(B20)</f>
        <v>#NAME?</v>
      </c>
      <c r="M20" s="224" t="s">
        <v>460</v>
      </c>
      <c r="N20" s="231"/>
      <c r="O20" s="2153"/>
      <c r="P20" s="2153"/>
      <c r="Q20" s="2153"/>
      <c r="R20" s="2153"/>
      <c r="S20" s="2153"/>
      <c r="T20" s="2153"/>
      <c r="U20" s="2153"/>
      <c r="V20" s="2153"/>
      <c r="W20" s="2153"/>
      <c r="X20" s="266" t="s">
        <v>461</v>
      </c>
    </row>
    <row r="21" spans="1:29" ht="22.5" customHeight="1">
      <c r="A21" s="1995"/>
      <c r="B21" s="1995"/>
      <c r="C21" s="1995">
        <v>1</v>
      </c>
      <c r="D21" s="444"/>
      <c r="E21" s="444"/>
      <c r="F21" s="444"/>
      <c r="G21" s="309"/>
      <c r="H21" s="1128"/>
      <c r="I21" s="285"/>
      <c r="J21" s="1135"/>
      <c r="K21" s="1057"/>
      <c r="L21" s="1134" t="e">
        <f ca="1">MERGEVALUE(A21)&amp;"."&amp;MERGEVALUE(B21)&amp;"."&amp;MERGEVALUE(C21)</f>
        <v>#NAME?</v>
      </c>
      <c r="M21" s="225" t="s">
        <v>462</v>
      </c>
      <c r="N21" s="231"/>
      <c r="O21" s="2153"/>
      <c r="P21" s="2153"/>
      <c r="Q21" s="2153"/>
      <c r="R21" s="2153"/>
      <c r="S21" s="2153"/>
      <c r="T21" s="2153"/>
      <c r="U21" s="2153"/>
      <c r="V21" s="2153"/>
      <c r="W21" s="2153"/>
      <c r="X21" s="266" t="s">
        <v>463</v>
      </c>
    </row>
    <row r="22" spans="1:29" ht="14.25" customHeight="1">
      <c r="A22" s="1995"/>
      <c r="B22" s="1995"/>
      <c r="C22" s="1995"/>
      <c r="D22" s="1995">
        <v>1</v>
      </c>
      <c r="E22" s="444"/>
      <c r="F22" s="444"/>
      <c r="G22" s="309"/>
      <c r="H22" s="1128"/>
      <c r="I22" s="285"/>
      <c r="J22" s="283"/>
      <c r="K22" s="1057"/>
      <c r="L22" s="1134" t="e">
        <f ca="1">MERGEVALUE(A22)&amp;"."&amp;MERGEVALUE(B22)&amp;"."&amp;MERGEVALUE(C22)&amp;"."&amp;MERGEVALUE(D22)</f>
        <v>#NAME?</v>
      </c>
      <c r="M22" s="226" t="s">
        <v>464</v>
      </c>
      <c r="N22" s="231"/>
      <c r="O22" s="2153"/>
      <c r="P22" s="2153"/>
      <c r="Q22" s="2153"/>
      <c r="R22" s="2153"/>
      <c r="S22" s="2153"/>
      <c r="T22" s="2153"/>
      <c r="U22" s="2153"/>
      <c r="V22" s="2153"/>
      <c r="W22" s="2153"/>
      <c r="X22" s="259" t="s">
        <v>1591</v>
      </c>
    </row>
    <row r="23" spans="1:29" ht="22.5" customHeight="1">
      <c r="A23" s="1995"/>
      <c r="B23" s="1995"/>
      <c r="C23" s="1995"/>
      <c r="D23" s="1995"/>
      <c r="E23" s="444">
        <v>1</v>
      </c>
      <c r="F23" s="444"/>
      <c r="G23" s="309"/>
      <c r="H23" s="1128"/>
      <c r="I23" s="285"/>
      <c r="J23" s="283"/>
      <c r="K23" s="378"/>
      <c r="L23" s="1134" t="e">
        <f ca="1">MERGEVALUE(A23)&amp;"."&amp;MERGEVALUE(B23)&amp;"."&amp;MERGEVALUE(C23)&amp;"."&amp;MERGEVALUE(D23)&amp;"."&amp;MERGEVALUE(E23)</f>
        <v>#NAME?</v>
      </c>
      <c r="M23" s="302"/>
      <c r="N23" s="1131"/>
      <c r="O23" s="304"/>
      <c r="P23" s="305"/>
      <c r="Q23" s="219"/>
      <c r="R23" s="219"/>
      <c r="S23" s="1650"/>
      <c r="T23" s="1124" t="s">
        <v>57</v>
      </c>
      <c r="U23" s="1167"/>
      <c r="V23" s="1124" t="s">
        <v>57</v>
      </c>
      <c r="W23" s="1168"/>
      <c r="X23" s="1918" t="s">
        <v>1592</v>
      </c>
      <c r="Y23" s="437" t="e">
        <f ca="1">STRCHECKDATETWO(N23:W23)</f>
        <v>#NAME?</v>
      </c>
    </row>
    <row r="24" spans="1:29" ht="14.25" hidden="1" customHeight="1">
      <c r="A24" s="1995"/>
      <c r="B24" s="1995"/>
      <c r="C24" s="1995"/>
      <c r="D24" s="1995"/>
      <c r="E24" s="444"/>
      <c r="F24" s="444"/>
      <c r="G24" s="309"/>
      <c r="H24" s="1128"/>
      <c r="I24" s="285"/>
      <c r="J24" s="283"/>
      <c r="K24" s="378"/>
      <c r="L24" s="1133"/>
      <c r="M24" s="227"/>
      <c r="N24" s="214"/>
      <c r="O24" s="214"/>
      <c r="P24" s="214"/>
      <c r="Q24" s="214"/>
      <c r="R24" s="250" t="str">
        <f>S23&amp;"-"&amp;U23</f>
        <v>-</v>
      </c>
      <c r="S24" s="235"/>
      <c r="T24" s="232"/>
      <c r="U24" s="235"/>
      <c r="V24" s="214"/>
      <c r="W24" s="1169"/>
      <c r="X24" s="1919"/>
    </row>
    <row r="25" spans="1:29" ht="14.25" customHeight="1">
      <c r="A25" s="1995"/>
      <c r="B25" s="1995"/>
      <c r="C25" s="1995"/>
      <c r="D25" s="1995"/>
      <c r="E25" s="444"/>
      <c r="F25" s="444"/>
      <c r="G25" s="309"/>
      <c r="H25" s="1128"/>
      <c r="I25" s="285"/>
      <c r="J25" s="283"/>
      <c r="K25" s="378"/>
      <c r="L25" s="223"/>
      <c r="M25" s="288" t="s">
        <v>540</v>
      </c>
      <c r="N25" s="287"/>
      <c r="O25" s="243"/>
      <c r="P25" s="243"/>
      <c r="Q25" s="243"/>
      <c r="R25" s="243"/>
      <c r="S25" s="247"/>
      <c r="T25" s="291"/>
      <c r="U25" s="290"/>
      <c r="V25" s="287"/>
      <c r="W25" s="287"/>
      <c r="X25" s="1920"/>
    </row>
    <row r="26" spans="1:29" s="1807" customFormat="1" ht="14.25" customHeight="1">
      <c r="A26" s="1995"/>
      <c r="B26" s="1995"/>
      <c r="C26" s="1995"/>
      <c r="D26" s="308"/>
      <c r="E26" s="308"/>
      <c r="F26" s="308"/>
      <c r="G26" s="309"/>
      <c r="H26" s="308"/>
      <c r="I26" s="285"/>
      <c r="J26" s="299"/>
      <c r="K26" s="301"/>
      <c r="L26" s="223"/>
      <c r="M26" s="296" t="s">
        <v>1571</v>
      </c>
      <c r="N26" s="287"/>
      <c r="O26" s="243"/>
      <c r="P26" s="243"/>
      <c r="Q26" s="243"/>
      <c r="R26" s="243"/>
      <c r="S26" s="247"/>
      <c r="T26" s="291"/>
      <c r="U26" s="290"/>
      <c r="V26" s="287"/>
      <c r="W26" s="291"/>
      <c r="X26" s="1170"/>
      <c r="Y26" s="306"/>
      <c r="Z26" s="306"/>
      <c r="AA26" s="306"/>
      <c r="AB26" s="306"/>
      <c r="AC26" s="306"/>
    </row>
    <row r="27" spans="1:29" s="1807" customFormat="1" ht="14.25" customHeight="1">
      <c r="A27" s="1995"/>
      <c r="B27" s="1995"/>
      <c r="C27" s="308"/>
      <c r="D27" s="308"/>
      <c r="E27" s="308"/>
      <c r="F27" s="308"/>
      <c r="G27" s="309"/>
      <c r="H27" s="308"/>
      <c r="I27" s="281"/>
      <c r="J27" s="299"/>
      <c r="K27" s="301"/>
      <c r="L27" s="223"/>
      <c r="M27" s="287" t="s">
        <v>1572</v>
      </c>
      <c r="N27" s="287"/>
      <c r="O27" s="243"/>
      <c r="P27" s="243"/>
      <c r="Q27" s="243"/>
      <c r="R27" s="243"/>
      <c r="S27" s="247"/>
      <c r="T27" s="291"/>
      <c r="U27" s="290"/>
      <c r="V27" s="287"/>
      <c r="W27" s="291"/>
      <c r="X27" s="245"/>
      <c r="Y27" s="306"/>
      <c r="Z27" s="306"/>
      <c r="AA27" s="306"/>
      <c r="AB27" s="306"/>
      <c r="AC27" s="306"/>
    </row>
    <row r="28" spans="1:29" s="1807" customFormat="1" ht="14.25" customHeight="1">
      <c r="A28" s="1995"/>
      <c r="B28" s="308"/>
      <c r="C28" s="308"/>
      <c r="D28" s="308"/>
      <c r="E28" s="308"/>
      <c r="F28" s="308"/>
      <c r="G28" s="309"/>
      <c r="H28" s="308"/>
      <c r="I28" s="281"/>
      <c r="J28" s="299"/>
      <c r="K28" s="301"/>
      <c r="L28" s="223"/>
      <c r="M28" s="345" t="s">
        <v>104</v>
      </c>
      <c r="N28" s="287"/>
      <c r="O28" s="243"/>
      <c r="P28" s="243"/>
      <c r="Q28" s="243"/>
      <c r="R28" s="243"/>
      <c r="S28" s="247"/>
      <c r="T28" s="291"/>
      <c r="U28" s="290"/>
      <c r="V28" s="287"/>
      <c r="W28" s="291"/>
      <c r="X28" s="245"/>
      <c r="Y28" s="306"/>
      <c r="Z28" s="306"/>
      <c r="AA28" s="306"/>
      <c r="AB28" s="306"/>
      <c r="AC28" s="306"/>
    </row>
    <row r="29" spans="1:29" s="1807" customFormat="1" ht="14.25" customHeight="1">
      <c r="G29" s="289"/>
      <c r="H29" s="301"/>
      <c r="I29" s="298"/>
      <c r="J29" s="299"/>
      <c r="L29" s="223"/>
      <c r="M29" s="346" t="s">
        <v>436</v>
      </c>
      <c r="N29" s="287"/>
      <c r="O29" s="243"/>
      <c r="P29" s="243"/>
      <c r="Q29" s="243"/>
      <c r="R29" s="243"/>
      <c r="S29" s="247"/>
      <c r="T29" s="291"/>
      <c r="U29" s="290"/>
      <c r="V29" s="287"/>
      <c r="W29" s="291"/>
      <c r="X29" s="245"/>
      <c r="Y29" s="306"/>
      <c r="Z29" s="306"/>
      <c r="AA29" s="306"/>
      <c r="AB29" s="306"/>
      <c r="AC29" s="306"/>
    </row>
    <row r="31" spans="1:29" ht="14.25" customHeight="1">
      <c r="L31" s="1">
        <v>1</v>
      </c>
      <c r="M31" s="2075" t="s">
        <v>1593</v>
      </c>
      <c r="N31" s="2075"/>
      <c r="O31" s="2075"/>
      <c r="P31" s="2075"/>
      <c r="Q31" s="2075"/>
      <c r="R31" s="2075"/>
      <c r="S31" s="2075"/>
      <c r="T31" s="2075"/>
      <c r="U31" s="2075"/>
      <c r="V31" s="2075"/>
      <c r="W31" s="2075"/>
      <c r="X31" s="2075"/>
      <c r="Y31" s="1171"/>
      <c r="Z31" s="293"/>
      <c r="AA31" s="293"/>
      <c r="AB31" s="293"/>
      <c r="AC31" s="293"/>
    </row>
    <row r="32" spans="1:29" ht="14.25" customHeight="1">
      <c r="M32" s="1172"/>
      <c r="N32" s="1172"/>
      <c r="O32" s="1172"/>
      <c r="P32" s="1172"/>
      <c r="Q32" s="1172"/>
      <c r="R32" s="1172"/>
      <c r="S32" s="1172"/>
      <c r="T32" s="1172"/>
      <c r="U32" s="1172"/>
      <c r="V32" s="1172"/>
      <c r="W32" s="1172"/>
      <c r="X32" s="1172"/>
      <c r="Y32" s="436"/>
      <c r="Z32" s="436"/>
      <c r="AA32" s="436"/>
      <c r="AB32" s="436"/>
      <c r="AC32" s="436"/>
    </row>
  </sheetData>
  <sheetProtection formatColumns="0" formatRows="0" insertRows="0" deleteColumns="0" deleteRows="0" sort="0" autoFilter="0"/>
  <mergeCells count="30">
    <mergeCell ref="L12:M12"/>
    <mergeCell ref="L5:T5"/>
    <mergeCell ref="O7:T7"/>
    <mergeCell ref="O8:T8"/>
    <mergeCell ref="O9:T9"/>
    <mergeCell ref="O10:T10"/>
    <mergeCell ref="Q13:V13"/>
    <mergeCell ref="L14:W14"/>
    <mergeCell ref="X14:X17"/>
    <mergeCell ref="L15:L17"/>
    <mergeCell ref="M15:M17"/>
    <mergeCell ref="O15:O17"/>
    <mergeCell ref="P15:P17"/>
    <mergeCell ref="Q15:U15"/>
    <mergeCell ref="V15:V17"/>
    <mergeCell ref="W15:W17"/>
    <mergeCell ref="A19:A28"/>
    <mergeCell ref="O19:W19"/>
    <mergeCell ref="B20:B27"/>
    <mergeCell ref="O20:W20"/>
    <mergeCell ref="C21:C26"/>
    <mergeCell ref="O21:W21"/>
    <mergeCell ref="D22:D25"/>
    <mergeCell ref="O22:W22"/>
    <mergeCell ref="X23:X25"/>
    <mergeCell ref="M31:X31"/>
    <mergeCell ref="Q16:R16"/>
    <mergeCell ref="S16:U16"/>
    <mergeCell ref="T17:U17"/>
    <mergeCell ref="T18:U18"/>
  </mergeCells>
  <dataValidations count="8">
    <dataValidation allowBlank="1" prompt="Для выбора выполните двойной щелчок левой клавиши мыши по соответствующей ячейке." sqref="IX25:JJ29 ST25:TF29 ACP25:ADB29 AML25:AMX29 AWH25:AWT29 BGD25:BGP29 BPZ25:BQL29 BZV25:CAH29 CJR25:CKD29 CTN25:CTZ29 DDJ25:DDV29 DNF25:DNR29 DXB25:DXN29 EGX25:EHJ29 EQT25:ERF29 FAP25:FBB29 FKL25:FKX29 FUH25:FUT29 GED25:GEP29 GNZ25:GOL29 GXV25:GYH29 HHR25:HID29 HRN25:HRZ29 IBJ25:IBV29 ILF25:ILR29 IVB25:IVN29 JEX25:JFJ29 JOT25:JPF29 JYP25:JZB29 KIL25:KIX29 KSH25:KST29 LCD25:LCP29 LLZ25:LML29 LVV25:LWH29 MFR25:MGD29 MPN25:MPZ29 MZJ25:MZV29 NJF25:NJR29 NTB25:NTN29 OCX25:ODJ29 OMT25:ONF29 OWP25:OXB29 PGL25:PGX29 PQH25:PQT29 QAD25:QAP29 QJZ25:QKL29 QTV25:QUH29 RDR25:RED29 RNN25:RNZ29 RXJ25:RXV29 SHF25:SHR29 SRB25:SRN29 TAX25:TBJ29 TKT25:TLF29 TUP25:TVB29 UEL25:UEX29 UOH25:UOT29 UYD25:UYP29 VHZ25:VIL29 VRV25:VSH29 WBR25:WCD29 WLN25:WLZ29 WVJ25:WVV29 IX65561:JJ65565 ST65561:TF65565 ACP65561:ADB65565 AML65561:AMX65565 AWH65561:AWT65565 BGD65561:BGP65565 BPZ65561:BQL65565 BZV65561:CAH65565 CJR65561:CKD65565 CTN65561:CTZ65565 DDJ65561:DDV65565 DNF65561:DNR65565 DXB65561:DXN65565 EGX65561:EHJ65565 EQT65561:ERF65565 FAP65561:FBB65565 FKL65561:FKX65565 FUH65561:FUT65565 GED65561:GEP65565 GNZ65561:GOL65565 GXV65561:GYH65565 HHR65561:HID65565 HRN65561:HRZ65565 IBJ65561:IBV65565 ILF65561:ILR65565 IVB65561:IVN65565 JEX65561:JFJ65565 JOT65561:JPF65565 JYP65561:JZB65565 KIL65561:KIX65565 KSH65561:KST65565 LCD65561:LCP65565 LLZ65561:LML65565 LVV65561:LWH65565 MFR65561:MGD65565 MPN65561:MPZ65565 MZJ65561:MZV65565 NJF65561:NJR65565 NTB65561:NTN65565 OCX65561:ODJ65565 OMT65561:ONF65565 OWP65561:OXB65565 PGL65561:PGX65565 PQH65561:PQT65565 QAD65561:QAP65565 QJZ65561:QKL65565 QTV65561:QUH65565 RDR65561:RED65565 RNN65561:RNZ65565 RXJ65561:RXV65565 SHF65561:SHR65565 SRB65561:SRN65565 TAX65561:TBJ65565 TKT65561:TLF65565 TUP65561:TVB65565 UEL65561:UEX65565 UOH65561:UOT65565 UYD65561:UYP65565 VHZ65561:VIL65565 VRV65561:VSH65565 WBR65561:WCD65565 WLN65561:WLZ65565 WVJ65561:WVV65565 IX131097:JJ131101 ST131097:TF131101 ACP131097:ADB131101 AML131097:AMX131101 AWH131097:AWT131101 BGD131097:BGP131101 BPZ131097:BQL131101 BZV131097:CAH131101 CJR131097:CKD131101 CTN131097:CTZ131101 DDJ131097:DDV131101 DNF131097:DNR131101 DXB131097:DXN131101 EGX131097:EHJ131101 EQT131097:ERF131101 FAP131097:FBB131101 FKL131097:FKX131101 FUH131097:FUT131101 GED131097:GEP131101 GNZ131097:GOL131101 GXV131097:GYH131101 HHR131097:HID131101 HRN131097:HRZ131101 IBJ131097:IBV131101 ILF131097:ILR131101 IVB131097:IVN131101 JEX131097:JFJ131101 JOT131097:JPF131101 JYP131097:JZB131101 KIL131097:KIX131101 KSH131097:KST131101 LCD131097:LCP131101 LLZ131097:LML131101 LVV131097:LWH131101 MFR131097:MGD131101 MPN131097:MPZ131101 MZJ131097:MZV131101 NJF131097:NJR131101 NTB131097:NTN131101 OCX131097:ODJ131101 OMT131097:ONF131101 OWP131097:OXB131101 PGL131097:PGX131101 PQH131097:PQT131101 QAD131097:QAP131101 QJZ131097:QKL131101 QTV131097:QUH131101 RDR131097:RED131101 RNN131097:RNZ131101 RXJ131097:RXV131101 SHF131097:SHR131101 SRB131097:SRN131101 TAX131097:TBJ131101 TKT131097:TLF131101 TUP131097:TVB131101 UEL131097:UEX131101 UOH131097:UOT131101 UYD131097:UYP131101 VHZ131097:VIL131101 VRV131097:VSH131101 WBR131097:WCD131101 WLN131097:WLZ131101 WVJ131097:WVV131101 IX196633:JJ196637 ST196633:TF196637 ACP196633:ADB196637 AML196633:AMX196637 AWH196633:AWT196637 BGD196633:BGP196637 BPZ196633:BQL196637 BZV196633:CAH196637 CJR196633:CKD196637 CTN196633:CTZ196637 DDJ196633:DDV196637 DNF196633:DNR196637 DXB196633:DXN196637 EGX196633:EHJ196637 EQT196633:ERF196637 FAP196633:FBB196637 FKL196633:FKX196637 FUH196633:FUT196637 GED196633:GEP196637 GNZ196633:GOL196637 GXV196633:GYH196637 HHR196633:HID196637 HRN196633:HRZ196637 IBJ196633:IBV196637 ILF196633:ILR196637 IVB196633:IVN196637 JEX196633:JFJ196637 JOT196633:JPF196637 JYP196633:JZB196637 KIL196633:KIX196637 KSH196633:KST196637 LCD196633:LCP196637 LLZ196633:LML196637 LVV196633:LWH196637 MFR196633:MGD196637 MPN196633:MPZ196637 MZJ196633:MZV196637 NJF196633:NJR196637 NTB196633:NTN196637 OCX196633:ODJ196637 OMT196633:ONF196637 OWP196633:OXB196637 PGL196633:PGX196637 PQH196633:PQT196637 QAD196633:QAP196637 QJZ196633:QKL196637 QTV196633:QUH196637 RDR196633:RED196637 RNN196633:RNZ196637 RXJ196633:RXV196637 SHF196633:SHR196637 SRB196633:SRN196637 TAX196633:TBJ196637 TKT196633:TLF196637 TUP196633:TVB196637 UEL196633:UEX196637 UOH196633:UOT196637 UYD196633:UYP196637 VHZ196633:VIL196637 VRV196633:VSH196637 WBR196633:WCD196637 WLN196633:WLZ196637 WVJ196633:WVV196637 IX262169:JJ262173 ST262169:TF262173 ACP262169:ADB262173 AML262169:AMX262173 AWH262169:AWT262173 BGD262169:BGP262173 BPZ262169:BQL262173 BZV262169:CAH262173 CJR262169:CKD262173 CTN262169:CTZ262173 DDJ262169:DDV262173 DNF262169:DNR262173 DXB262169:DXN262173 EGX262169:EHJ262173 EQT262169:ERF262173 FAP262169:FBB262173 FKL262169:FKX262173 FUH262169:FUT262173 GED262169:GEP262173 GNZ262169:GOL262173 GXV262169:GYH262173 HHR262169:HID262173 HRN262169:HRZ262173 IBJ262169:IBV262173 ILF262169:ILR262173 IVB262169:IVN262173 JEX262169:JFJ262173 JOT262169:JPF262173 JYP262169:JZB262173 KIL262169:KIX262173 KSH262169:KST262173 LCD262169:LCP262173 LLZ262169:LML262173 LVV262169:LWH262173 MFR262169:MGD262173 MPN262169:MPZ262173 MZJ262169:MZV262173 NJF262169:NJR262173 NTB262169:NTN262173 OCX262169:ODJ262173 OMT262169:ONF262173 OWP262169:OXB262173 PGL262169:PGX262173 PQH262169:PQT262173 QAD262169:QAP262173 QJZ262169:QKL262173 QTV262169:QUH262173 RDR262169:RED262173 RNN262169:RNZ262173 RXJ262169:RXV262173 SHF262169:SHR262173 SRB262169:SRN262173 TAX262169:TBJ262173 TKT262169:TLF262173 TUP262169:TVB262173 UEL262169:UEX262173 UOH262169:UOT262173 UYD262169:UYP262173 VHZ262169:VIL262173 VRV262169:VSH262173 WBR262169:WCD262173 WLN262169:WLZ262173 WVJ262169:WVV262173 IX327705:JJ327709 ST327705:TF327709 ACP327705:ADB327709 AML327705:AMX327709 AWH327705:AWT327709 BGD327705:BGP327709 BPZ327705:BQL327709 BZV327705:CAH327709 CJR327705:CKD327709 CTN327705:CTZ327709 DDJ327705:DDV327709 DNF327705:DNR327709 DXB327705:DXN327709 EGX327705:EHJ327709 EQT327705:ERF327709 FAP327705:FBB327709 FKL327705:FKX327709 FUH327705:FUT327709 GED327705:GEP327709 GNZ327705:GOL327709 GXV327705:GYH327709 HHR327705:HID327709 HRN327705:HRZ327709 IBJ327705:IBV327709 ILF327705:ILR327709 IVB327705:IVN327709 JEX327705:JFJ327709 JOT327705:JPF327709 JYP327705:JZB327709 KIL327705:KIX327709 KSH327705:KST327709 LCD327705:LCP327709 LLZ327705:LML327709 LVV327705:LWH327709 MFR327705:MGD327709 MPN327705:MPZ327709 MZJ327705:MZV327709 NJF327705:NJR327709 NTB327705:NTN327709 OCX327705:ODJ327709 OMT327705:ONF327709 OWP327705:OXB327709 PGL327705:PGX327709 PQH327705:PQT327709 QAD327705:QAP327709 QJZ327705:QKL327709 QTV327705:QUH327709 RDR327705:RED327709 RNN327705:RNZ327709 RXJ327705:RXV327709 SHF327705:SHR327709 SRB327705:SRN327709 TAX327705:TBJ327709 TKT327705:TLF327709 TUP327705:TVB327709 UEL327705:UEX327709 UOH327705:UOT327709 UYD327705:UYP327709 VHZ327705:VIL327709 VRV327705:VSH327709 WBR327705:WCD327709 WLN327705:WLZ327709 WVJ327705:WVV327709 IX393241:JJ393245 ST393241:TF393245 ACP393241:ADB393245 AML393241:AMX393245 AWH393241:AWT393245 BGD393241:BGP393245 BPZ393241:BQL393245 BZV393241:CAH393245 CJR393241:CKD393245 CTN393241:CTZ393245 DDJ393241:DDV393245 DNF393241:DNR393245 DXB393241:DXN393245 EGX393241:EHJ393245 EQT393241:ERF393245 FAP393241:FBB393245 FKL393241:FKX393245 FUH393241:FUT393245 GED393241:GEP393245 GNZ393241:GOL393245 GXV393241:GYH393245 HHR393241:HID393245 HRN393241:HRZ393245 IBJ393241:IBV393245 ILF393241:ILR393245 IVB393241:IVN393245 JEX393241:JFJ393245 JOT393241:JPF393245 JYP393241:JZB393245 KIL393241:KIX393245 KSH393241:KST393245 LCD393241:LCP393245 LLZ393241:LML393245 LVV393241:LWH393245 MFR393241:MGD393245 MPN393241:MPZ393245 MZJ393241:MZV393245 NJF393241:NJR393245 NTB393241:NTN393245 OCX393241:ODJ393245 OMT393241:ONF393245 OWP393241:OXB393245 PGL393241:PGX393245 PQH393241:PQT393245 QAD393241:QAP393245 QJZ393241:QKL393245 QTV393241:QUH393245 RDR393241:RED393245 RNN393241:RNZ393245 RXJ393241:RXV393245 SHF393241:SHR393245 SRB393241:SRN393245 TAX393241:TBJ393245 TKT393241:TLF393245 TUP393241:TVB393245 UEL393241:UEX393245 UOH393241:UOT393245 UYD393241:UYP393245 VHZ393241:VIL393245 VRV393241:VSH393245 WBR393241:WCD393245 WLN393241:WLZ393245 WVJ393241:WVV393245 IX458777:JJ458781 ST458777:TF458781 ACP458777:ADB458781 AML458777:AMX458781 AWH458777:AWT458781 BGD458777:BGP458781 BPZ458777:BQL458781 BZV458777:CAH458781 CJR458777:CKD458781 CTN458777:CTZ458781 DDJ458777:DDV458781 DNF458777:DNR458781 DXB458777:DXN458781 EGX458777:EHJ458781 EQT458777:ERF458781 FAP458777:FBB458781 FKL458777:FKX458781 FUH458777:FUT458781 GED458777:GEP458781 GNZ458777:GOL458781 GXV458777:GYH458781 HHR458777:HID458781 HRN458777:HRZ458781 IBJ458777:IBV458781 ILF458777:ILR458781 IVB458777:IVN458781 JEX458777:JFJ458781 JOT458777:JPF458781 JYP458777:JZB458781 KIL458777:KIX458781 KSH458777:KST458781 LCD458777:LCP458781 LLZ458777:LML458781 LVV458777:LWH458781 MFR458777:MGD458781 MPN458777:MPZ458781 MZJ458777:MZV458781 NJF458777:NJR458781 NTB458777:NTN458781 OCX458777:ODJ458781 OMT458777:ONF458781 OWP458777:OXB458781 PGL458777:PGX458781 PQH458777:PQT458781 QAD458777:QAP458781 QJZ458777:QKL458781 QTV458777:QUH458781 RDR458777:RED458781 RNN458777:RNZ458781 RXJ458777:RXV458781 SHF458777:SHR458781 SRB458777:SRN458781 TAX458777:TBJ458781 TKT458777:TLF458781 TUP458777:TVB458781 UEL458777:UEX458781 UOH458777:UOT458781 UYD458777:UYP458781 VHZ458777:VIL458781 VRV458777:VSH458781 WBR458777:WCD458781 WLN458777:WLZ458781 WVJ458777:WVV458781 IX524313:JJ524317 ST524313:TF524317 ACP524313:ADB524317 AML524313:AMX524317 AWH524313:AWT524317 BGD524313:BGP524317 BPZ524313:BQL524317 BZV524313:CAH524317 CJR524313:CKD524317 CTN524313:CTZ524317 DDJ524313:DDV524317 DNF524313:DNR524317 DXB524313:DXN524317 EGX524313:EHJ524317 EQT524313:ERF524317 FAP524313:FBB524317 FKL524313:FKX524317 FUH524313:FUT524317 GED524313:GEP524317 GNZ524313:GOL524317 GXV524313:GYH524317 HHR524313:HID524317 HRN524313:HRZ524317 IBJ524313:IBV524317 ILF524313:ILR524317 IVB524313:IVN524317 JEX524313:JFJ524317 JOT524313:JPF524317 JYP524313:JZB524317 KIL524313:KIX524317 KSH524313:KST524317 LCD524313:LCP524317 LLZ524313:LML524317 LVV524313:LWH524317 MFR524313:MGD524317 MPN524313:MPZ524317 MZJ524313:MZV524317 NJF524313:NJR524317 NTB524313:NTN524317 OCX524313:ODJ524317 OMT524313:ONF524317 OWP524313:OXB524317 PGL524313:PGX524317 PQH524313:PQT524317 QAD524313:QAP524317 QJZ524313:QKL524317 QTV524313:QUH524317 RDR524313:RED524317 RNN524313:RNZ524317 RXJ524313:RXV524317 SHF524313:SHR524317 SRB524313:SRN524317 TAX524313:TBJ524317 TKT524313:TLF524317 TUP524313:TVB524317 UEL524313:UEX524317 UOH524313:UOT524317 UYD524313:UYP524317 VHZ524313:VIL524317 VRV524313:VSH524317 WBR524313:WCD524317 WLN524313:WLZ524317 WVJ524313:WVV524317 IX589849:JJ589853 ST589849:TF589853 ACP589849:ADB589853 AML589849:AMX589853 AWH589849:AWT589853 BGD589849:BGP589853 BPZ589849:BQL589853 BZV589849:CAH589853 CJR589849:CKD589853 CTN589849:CTZ589853 DDJ589849:DDV589853 DNF589849:DNR589853 DXB589849:DXN589853 EGX589849:EHJ589853 EQT589849:ERF589853 FAP589849:FBB589853 FKL589849:FKX589853 FUH589849:FUT589853 GED589849:GEP589853 GNZ589849:GOL589853 GXV589849:GYH589853 HHR589849:HID589853 HRN589849:HRZ589853 IBJ589849:IBV589853 ILF589849:ILR589853 IVB589849:IVN589853 JEX589849:JFJ589853 JOT589849:JPF589853 JYP589849:JZB589853 KIL589849:KIX589853 KSH589849:KST589853 LCD589849:LCP589853 LLZ589849:LML589853 LVV589849:LWH589853 MFR589849:MGD589853 MPN589849:MPZ589853 MZJ589849:MZV589853 NJF589849:NJR589853 NTB589849:NTN589853 OCX589849:ODJ589853 OMT589849:ONF589853 OWP589849:OXB589853 PGL589849:PGX589853 PQH589849:PQT589853 QAD589849:QAP589853 QJZ589849:QKL589853 QTV589849:QUH589853 RDR589849:RED589853 RNN589849:RNZ589853 RXJ589849:RXV589853 SHF589849:SHR589853 SRB589849:SRN589853 TAX589849:TBJ589853 TKT589849:TLF589853 TUP589849:TVB589853 UEL589849:UEX589853 UOH589849:UOT589853 UYD589849:UYP589853 VHZ589849:VIL589853 VRV589849:VSH589853 WBR589849:WCD589853 WLN589849:WLZ589853 WVJ589849:WVV589853 IX655385:JJ655389 ST655385:TF655389 ACP655385:ADB655389 AML655385:AMX655389 AWH655385:AWT655389 BGD655385:BGP655389 BPZ655385:BQL655389 BZV655385:CAH655389 CJR655385:CKD655389 CTN655385:CTZ655389 DDJ655385:DDV655389 DNF655385:DNR655389 DXB655385:DXN655389 EGX655385:EHJ655389 EQT655385:ERF655389 FAP655385:FBB655389 FKL655385:FKX655389 FUH655385:FUT655389 GED655385:GEP655389 GNZ655385:GOL655389 GXV655385:GYH655389 HHR655385:HID655389 HRN655385:HRZ655389 IBJ655385:IBV655389 ILF655385:ILR655389 IVB655385:IVN655389 JEX655385:JFJ655389 JOT655385:JPF655389 JYP655385:JZB655389 KIL655385:KIX655389 KSH655385:KST655389 LCD655385:LCP655389 LLZ655385:LML655389 LVV655385:LWH655389 MFR655385:MGD655389 MPN655385:MPZ655389 MZJ655385:MZV655389 NJF655385:NJR655389 NTB655385:NTN655389 OCX655385:ODJ655389 OMT655385:ONF655389 OWP655385:OXB655389 PGL655385:PGX655389 PQH655385:PQT655389 QAD655385:QAP655389 QJZ655385:QKL655389 QTV655385:QUH655389 RDR655385:RED655389 RNN655385:RNZ655389 RXJ655385:RXV655389 SHF655385:SHR655389 SRB655385:SRN655389 TAX655385:TBJ655389 TKT655385:TLF655389 TUP655385:TVB655389 UEL655385:UEX655389 UOH655385:UOT655389 UYD655385:UYP655389 VHZ655385:VIL655389 VRV655385:VSH655389 WBR655385:WCD655389 WLN655385:WLZ655389 WVJ655385:WVV655389 IX720921:JJ720925 ST720921:TF720925 ACP720921:ADB720925 AML720921:AMX720925 AWH720921:AWT720925 BGD720921:BGP720925 BPZ720921:BQL720925 BZV720921:CAH720925 CJR720921:CKD720925 CTN720921:CTZ720925 DDJ720921:DDV720925 DNF720921:DNR720925 DXB720921:DXN720925 EGX720921:EHJ720925 EQT720921:ERF720925 FAP720921:FBB720925 FKL720921:FKX720925 FUH720921:FUT720925 GED720921:GEP720925 GNZ720921:GOL720925 GXV720921:GYH720925 HHR720921:HID720925 HRN720921:HRZ720925 IBJ720921:IBV720925 ILF720921:ILR720925 IVB720921:IVN720925 JEX720921:JFJ720925 JOT720921:JPF720925 JYP720921:JZB720925 KIL720921:KIX720925 KSH720921:KST720925 LCD720921:LCP720925 LLZ720921:LML720925 LVV720921:LWH720925 MFR720921:MGD720925 MPN720921:MPZ720925 MZJ720921:MZV720925 NJF720921:NJR720925 NTB720921:NTN720925 OCX720921:ODJ720925 OMT720921:ONF720925 OWP720921:OXB720925 PGL720921:PGX720925 PQH720921:PQT720925 QAD720921:QAP720925 QJZ720921:QKL720925 QTV720921:QUH720925 RDR720921:RED720925 RNN720921:RNZ720925 RXJ720921:RXV720925 SHF720921:SHR720925 SRB720921:SRN720925 TAX720921:TBJ720925 TKT720921:TLF720925 TUP720921:TVB720925 UEL720921:UEX720925 UOH720921:UOT720925 UYD720921:UYP720925 VHZ720921:VIL720925 VRV720921:VSH720925 WBR720921:WCD720925 WLN720921:WLZ720925 WVJ720921:WVV720925 IX786457:JJ786461 ST786457:TF786461 ACP786457:ADB786461 AML786457:AMX786461 AWH786457:AWT786461 BGD786457:BGP786461 BPZ786457:BQL786461 BZV786457:CAH786461 CJR786457:CKD786461 CTN786457:CTZ786461 DDJ786457:DDV786461 DNF786457:DNR786461 DXB786457:DXN786461 EGX786457:EHJ786461 EQT786457:ERF786461 FAP786457:FBB786461 FKL786457:FKX786461 FUH786457:FUT786461 GED786457:GEP786461 GNZ786457:GOL786461 GXV786457:GYH786461 HHR786457:HID786461 HRN786457:HRZ786461 IBJ786457:IBV786461 ILF786457:ILR786461 IVB786457:IVN786461 JEX786457:JFJ786461 JOT786457:JPF786461 JYP786457:JZB786461 KIL786457:KIX786461 KSH786457:KST786461 LCD786457:LCP786461 LLZ786457:LML786461 LVV786457:LWH786461 MFR786457:MGD786461 MPN786457:MPZ786461 MZJ786457:MZV786461 NJF786457:NJR786461 NTB786457:NTN786461 OCX786457:ODJ786461 OMT786457:ONF786461 OWP786457:OXB786461 PGL786457:PGX786461 PQH786457:PQT786461 QAD786457:QAP786461 QJZ786457:QKL786461 QTV786457:QUH786461 RDR786457:RED786461 RNN786457:RNZ786461 RXJ786457:RXV786461 SHF786457:SHR786461 SRB786457:SRN786461 TAX786457:TBJ786461 TKT786457:TLF786461 TUP786457:TVB786461 UEL786457:UEX786461 UOH786457:UOT786461 UYD786457:UYP786461 VHZ786457:VIL786461 VRV786457:VSH786461 WBR786457:WCD786461 WLN786457:WLZ786461 WVJ786457:WVV786461 IX851993:JJ851997 ST851993:TF851997 ACP851993:ADB851997 AML851993:AMX851997 AWH851993:AWT851997 BGD851993:BGP851997 BPZ851993:BQL851997 BZV851993:CAH851997 CJR851993:CKD851997 CTN851993:CTZ851997 DDJ851993:DDV851997 DNF851993:DNR851997 DXB851993:DXN851997 EGX851993:EHJ851997 EQT851993:ERF851997 FAP851993:FBB851997 FKL851993:FKX851997 FUH851993:FUT851997 GED851993:GEP851997 GNZ851993:GOL851997 GXV851993:GYH851997 HHR851993:HID851997 HRN851993:HRZ851997 IBJ851993:IBV851997 ILF851993:ILR851997 IVB851993:IVN851997 JEX851993:JFJ851997 JOT851993:JPF851997 JYP851993:JZB851997 KIL851993:KIX851997 KSH851993:KST851997 LCD851993:LCP851997 LLZ851993:LML851997 LVV851993:LWH851997 MFR851993:MGD851997 MPN851993:MPZ851997 MZJ851993:MZV851997 NJF851993:NJR851997 NTB851993:NTN851997 OCX851993:ODJ851997 OMT851993:ONF851997 OWP851993:OXB851997 PGL851993:PGX851997 PQH851993:PQT851997 QAD851993:QAP851997 QJZ851993:QKL851997 QTV851993:QUH851997 RDR851993:RED851997 RNN851993:RNZ851997 RXJ851993:RXV851997 SHF851993:SHR851997 SRB851993:SRN851997 TAX851993:TBJ851997 TKT851993:TLF851997 TUP851993:TVB851997 UEL851993:UEX851997 UOH851993:UOT851997 UYD851993:UYP851997 VHZ851993:VIL851997 VRV851993:VSH851997 WBR851993:WCD851997 WLN851993:WLZ851997 WVJ851993:WVV851997 IX917529:JJ917533 ST917529:TF917533 ACP917529:ADB917533 AML917529:AMX917533 AWH917529:AWT917533 BGD917529:BGP917533 BPZ917529:BQL917533 BZV917529:CAH917533 CJR917529:CKD917533 CTN917529:CTZ917533 DDJ917529:DDV917533 DNF917529:DNR917533 DXB917529:DXN917533 EGX917529:EHJ917533 EQT917529:ERF917533 FAP917529:FBB917533 FKL917529:FKX917533 FUH917529:FUT917533 GED917529:GEP917533 GNZ917529:GOL917533 GXV917529:GYH917533 HHR917529:HID917533 HRN917529:HRZ917533 IBJ917529:IBV917533 ILF917529:ILR917533 IVB917529:IVN917533 JEX917529:JFJ917533 JOT917529:JPF917533 JYP917529:JZB917533 KIL917529:KIX917533 KSH917529:KST917533 LCD917529:LCP917533 LLZ917529:LML917533 LVV917529:LWH917533 MFR917529:MGD917533 MPN917529:MPZ917533 MZJ917529:MZV917533 NJF917529:NJR917533 NTB917529:NTN917533 OCX917529:ODJ917533 OMT917529:ONF917533 OWP917529:OXB917533 PGL917529:PGX917533 PQH917529:PQT917533 QAD917529:QAP917533 QJZ917529:QKL917533 QTV917529:QUH917533 RDR917529:RED917533 RNN917529:RNZ917533 RXJ917529:RXV917533 SHF917529:SHR917533 SRB917529:SRN917533 TAX917529:TBJ917533 TKT917529:TLF917533 TUP917529:TVB917533 UEL917529:UEX917533 UOH917529:UOT917533 UYD917529:UYP917533 VHZ917529:VIL917533 VRV917529:VSH917533 WBR917529:WCD917533 WLN917529:WLZ917533 WVJ917529:WVV917533 WVJ983065:WVV983069 IX983065:JJ983069 ST983065:TF983069 ACP983065:ADB983069 AML983065:AMX983069 AWH983065:AWT983069 BGD983065:BGP983069 BPZ983065:BQL983069 BZV983065:CAH983069 CJR983065:CKD983069 CTN983065:CTZ983069 DDJ983065:DDV983069 DNF983065:DNR983069 DXB983065:DXN983069 EGX983065:EHJ983069 EQT983065:ERF983069 FAP983065:FBB983069 FKL983065:FKX983069 FUH983065:FUT983069 GED983065:GEP983069 GNZ983065:GOL983069 GXV983065:GYH983069 HHR983065:HID983069 HRN983065:HRZ983069 IBJ983065:IBV983069 ILF983065:ILR983069 IVB983065:IVN983069 JEX983065:JFJ983069 JOT983065:JPF983069 JYP983065:JZB983069 KIL983065:KIX983069 KSH983065:KST983069 LCD983065:LCP983069 LLZ983065:LML983069 LVV983065:LWH983069 MFR983065:MGD983069 MPN983065:MPZ983069 MZJ983065:MZV983069 NJF983065:NJR983069 NTB983065:NTN983069 OCX983065:ODJ983069 OMT983065:ONF983069 OWP983065:OXB983069 PGL983065:PGX983069 PQH983065:PQT983069 QAD983065:QAP983069 QJZ983065:QKL983069 QTV983065:QUH983069 RDR983065:RED983069 RNN983065:RNZ983069 RXJ983065:RXV983069 SHF983065:SHR983069 SRB983065:SRN983069 TAX983065:TBJ983069 TKT983065:TLF983069 TUP983065:TVB983069 UEL983065:UEX983069 UOH983065:UOT983069 UYD983065:UYP983069 VHZ983065:VIL983069 VRV983065:VSH983069 WBR983065:WCD983069 WLN983065:WLZ983069 L983065:X983069 L65561:X65565 L131097:X131101 L196633:X196637 L262169:X262173 L327705:X327709 L393241:X393245 L458777:X458781 L524313:X524317 L589849:X589853 L655385:X655389 L720921:X720925 L786457:X786461 L851993:X851997 L917529:X917533"/>
    <dataValidation type="textLength" operator="lessThanOrEqual" allowBlank="1" showInputMessage="1" showErrorMessage="1" errorTitle="Ошибка" error="Допускается ввод не более 900 символов!" prompt="Укажите заявителя" sqref="ACQ23 AMM23 AWI23 BGE23 BQA23 BZW23 CJS23 CTO23 DDK23 DNG23 DXC23 EGY23 EQU23 FAQ23 FKM23 FUI23 GEE23 GOA23 GXW23 HHS23 HRO23 IBK23 ILG23 IVC23 JEY23 JOU23 JYQ23 KIM23 KSI23 LCE23 LMA23 LVW23 MFS23 MPO23 MZK23 NJG23 NTC23 OCY23 OMU23 OWQ23 PGM23 PQI23 QAE23 QKA23 QTW23 RDS23 RNO23 RXK23 SHG23 SRC23 TAY23 TKU23 TUQ23 UEM23 UOI23 UYE23 VIA23 VRW23 WBS23 WLO23 WVK23 M23 IY23 WVK983063 M65559 IY65559 SU65559 ACQ65559 AMM65559 AWI65559 BGE65559 BQA65559 BZW65559 CJS65559 CTO65559 DDK65559 DNG65559 DXC65559 EGY65559 EQU65559 FAQ65559 FKM65559 FUI65559 GEE65559 GOA65559 GXW65559 HHS65559 HRO65559 IBK65559 ILG65559 IVC65559 JEY65559 JOU65559 JYQ65559 KIM65559 KSI65559 LCE65559 LMA65559 LVW65559 MFS65559 MPO65559 MZK65559 NJG65559 NTC65559 OCY65559 OMU65559 OWQ65559 PGM65559 PQI65559 QAE65559 QKA65559 QTW65559 RDS65559 RNO65559 RXK65559 SHG65559 SRC65559 TAY65559 TKU65559 TUQ65559 UEM65559 UOI65559 UYE65559 VIA65559 VRW65559 WBS65559 WLO65559 WVK65559 M131095 IY131095 SU131095 ACQ131095 AMM131095 AWI131095 BGE131095 BQA131095 BZW131095 CJS131095 CTO131095 DDK131095 DNG131095 DXC131095 EGY131095 EQU131095 FAQ131095 FKM131095 FUI131095 GEE131095 GOA131095 GXW131095 HHS131095 HRO131095 IBK131095 ILG131095 IVC131095 JEY131095 JOU131095 JYQ131095 KIM131095 KSI131095 LCE131095 LMA131095 LVW131095 MFS131095 MPO131095 MZK131095 NJG131095 NTC131095 OCY131095 OMU131095 OWQ131095 PGM131095 PQI131095 QAE131095 QKA131095 QTW131095 RDS131095 RNO131095 RXK131095 SHG131095 SRC131095 TAY131095 TKU131095 TUQ131095 UEM131095 UOI131095 UYE131095 VIA131095 VRW131095 WBS131095 WLO131095 WVK131095 M196631 IY196631 SU196631 ACQ196631 AMM196631 AWI196631 BGE196631 BQA196631 BZW196631 CJS196631 CTO196631 DDK196631 DNG196631 DXC196631 EGY196631 EQU196631 FAQ196631 FKM196631 FUI196631 GEE196631 GOA196631 GXW196631 HHS196631 HRO196631 IBK196631 ILG196631 IVC196631 JEY196631 JOU196631 JYQ196631 KIM196631 KSI196631 LCE196631 LMA196631 LVW196631 MFS196631 MPO196631 MZK196631 NJG196631 NTC196631 OCY196631 OMU196631 OWQ196631 PGM196631 PQI196631 QAE196631 QKA196631 QTW196631 RDS196631 RNO196631 RXK196631 SHG196631 SRC196631 TAY196631 TKU196631 TUQ196631 UEM196631 UOI196631 UYE196631 VIA196631 VRW196631 WBS196631 WLO196631 WVK196631 M262167 IY262167 SU262167 ACQ262167 AMM262167 AWI262167 BGE262167 BQA262167 BZW262167 CJS262167 CTO262167 DDK262167 DNG262167 DXC262167 EGY262167 EQU262167 FAQ262167 FKM262167 FUI262167 GEE262167 GOA262167 GXW262167 HHS262167 HRO262167 IBK262167 ILG262167 IVC262167 JEY262167 JOU262167 JYQ262167 KIM262167 KSI262167 LCE262167 LMA262167 LVW262167 MFS262167 MPO262167 MZK262167 NJG262167 NTC262167 OCY262167 OMU262167 OWQ262167 PGM262167 PQI262167 QAE262167 QKA262167 QTW262167 RDS262167 RNO262167 RXK262167 SHG262167 SRC262167 TAY262167 TKU262167 TUQ262167 UEM262167 UOI262167 UYE262167 VIA262167 VRW262167 WBS262167 WLO262167 WVK262167 M327703 IY327703 SU327703 ACQ327703 AMM327703 AWI327703 BGE327703 BQA327703 BZW327703 CJS327703 CTO327703 DDK327703 DNG327703 DXC327703 EGY327703 EQU327703 FAQ327703 FKM327703 FUI327703 GEE327703 GOA327703 GXW327703 HHS327703 HRO327703 IBK327703 ILG327703 IVC327703 JEY327703 JOU327703 JYQ327703 KIM327703 KSI327703 LCE327703 LMA327703 LVW327703 MFS327703 MPO327703 MZK327703 NJG327703 NTC327703 OCY327703 OMU327703 OWQ327703 PGM327703 PQI327703 QAE327703 QKA327703 QTW327703 RDS327703 RNO327703 RXK327703 SHG327703 SRC327703 TAY327703 TKU327703 TUQ327703 UEM327703 UOI327703 UYE327703 VIA327703 VRW327703 WBS327703 WLO327703 WVK327703 M393239 IY393239 SU393239 ACQ393239 AMM393239 AWI393239 BGE393239 BQA393239 BZW393239 CJS393239 CTO393239 DDK393239 DNG393239 DXC393239 EGY393239 EQU393239 FAQ393239 FKM393239 FUI393239 GEE393239 GOA393239 GXW393239 HHS393239 HRO393239 IBK393239 ILG393239 IVC393239 JEY393239 JOU393239 JYQ393239 KIM393239 KSI393239 LCE393239 LMA393239 LVW393239 MFS393239 MPO393239 MZK393239 NJG393239 NTC393239 OCY393239 OMU393239 OWQ393239 PGM393239 PQI393239 QAE393239 QKA393239 QTW393239 RDS393239 RNO393239 RXK393239 SHG393239 SRC393239 TAY393239 TKU393239 TUQ393239 UEM393239 UOI393239 UYE393239 VIA393239 VRW393239 WBS393239 WLO393239 WVK393239 M458775 IY458775 SU458775 ACQ458775 AMM458775 AWI458775 BGE458775 BQA458775 BZW458775 CJS458775 CTO458775 DDK458775 DNG458775 DXC458775 EGY458775 EQU458775 FAQ458775 FKM458775 FUI458775 GEE458775 GOA458775 GXW458775 HHS458775 HRO458775 IBK458775 ILG458775 IVC458775 JEY458775 JOU458775 JYQ458775 KIM458775 KSI458775 LCE458775 LMA458775 LVW458775 MFS458775 MPO458775 MZK458775 NJG458775 NTC458775 OCY458775 OMU458775 OWQ458775 PGM458775 PQI458775 QAE458775 QKA458775 QTW458775 RDS458775 RNO458775 RXK458775 SHG458775 SRC458775 TAY458775 TKU458775 TUQ458775 UEM458775 UOI458775 UYE458775 VIA458775 VRW458775 WBS458775 WLO458775 WVK458775 M524311 IY524311 SU524311 ACQ524311 AMM524311 AWI524311 BGE524311 BQA524311 BZW524311 CJS524311 CTO524311 DDK524311 DNG524311 DXC524311 EGY524311 EQU524311 FAQ524311 FKM524311 FUI524311 GEE524311 GOA524311 GXW524311 HHS524311 HRO524311 IBK524311 ILG524311 IVC524311 JEY524311 JOU524311 JYQ524311 KIM524311 KSI524311 LCE524311 LMA524311 LVW524311 MFS524311 MPO524311 MZK524311 NJG524311 NTC524311 OCY524311 OMU524311 OWQ524311 PGM524311 PQI524311 QAE524311 QKA524311 QTW524311 RDS524311 RNO524311 RXK524311 SHG524311 SRC524311 TAY524311 TKU524311 TUQ524311 UEM524311 UOI524311 UYE524311 VIA524311 VRW524311 WBS524311 WLO524311 WVK524311 M589847 IY589847 SU589847 ACQ589847 AMM589847 AWI589847 BGE589847 BQA589847 BZW589847 CJS589847 CTO589847 DDK589847 DNG589847 DXC589847 EGY589847 EQU589847 FAQ589847 FKM589847 FUI589847 GEE589847 GOA589847 GXW589847 HHS589847 HRO589847 IBK589847 ILG589847 IVC589847 JEY589847 JOU589847 JYQ589847 KIM589847 KSI589847 LCE589847 LMA589847 LVW589847 MFS589847 MPO589847 MZK589847 NJG589847 NTC589847 OCY589847 OMU589847 OWQ589847 PGM589847 PQI589847 QAE589847 QKA589847 QTW589847 RDS589847 RNO589847 RXK589847 SHG589847 SRC589847 TAY589847 TKU589847 TUQ589847 UEM589847 UOI589847 UYE589847 VIA589847 VRW589847 WBS589847 WLO589847 WVK589847 M655383 IY655383 SU655383 ACQ655383 AMM655383 AWI655383 BGE655383 BQA655383 BZW655383 CJS655383 CTO655383 DDK655383 DNG655383 DXC655383 EGY655383 EQU655383 FAQ655383 FKM655383 FUI655383 GEE655383 GOA655383 GXW655383 HHS655383 HRO655383 IBK655383 ILG655383 IVC655383 JEY655383 JOU655383 JYQ655383 KIM655383 KSI655383 LCE655383 LMA655383 LVW655383 MFS655383 MPO655383 MZK655383 NJG655383 NTC655383 OCY655383 OMU655383 OWQ655383 PGM655383 PQI655383 QAE655383 QKA655383 QTW655383 RDS655383 RNO655383 RXK655383 SHG655383 SRC655383 TAY655383 TKU655383 TUQ655383 UEM655383 UOI655383 UYE655383 VIA655383 VRW655383 WBS655383 WLO655383 WVK655383 M720919 IY720919 SU720919 ACQ720919 AMM720919 AWI720919 BGE720919 BQA720919 BZW720919 CJS720919 CTO720919 DDK720919 DNG720919 DXC720919 EGY720919 EQU720919 FAQ720919 FKM720919 FUI720919 GEE720919 GOA720919 GXW720919 HHS720919 HRO720919 IBK720919 ILG720919 IVC720919 JEY720919 JOU720919 JYQ720919 KIM720919 KSI720919 LCE720919 LMA720919 LVW720919 MFS720919 MPO720919 MZK720919 NJG720919 NTC720919 OCY720919 OMU720919 OWQ720919 PGM720919 PQI720919 QAE720919 QKA720919 QTW720919 RDS720919 RNO720919 RXK720919 SHG720919 SRC720919 TAY720919 TKU720919 TUQ720919 UEM720919 UOI720919 UYE720919 VIA720919 VRW720919 WBS720919 WLO720919 WVK720919 M786455 IY786455 SU786455 ACQ786455 AMM786455 AWI786455 BGE786455 BQA786455 BZW786455 CJS786455 CTO786455 DDK786455 DNG786455 DXC786455 EGY786455 EQU786455 FAQ786455 FKM786455 FUI786455 GEE786455 GOA786455 GXW786455 HHS786455 HRO786455 IBK786455 ILG786455 IVC786455 JEY786455 JOU786455 JYQ786455 KIM786455 KSI786455 LCE786455 LMA786455 LVW786455 MFS786455 MPO786455 MZK786455 NJG786455 NTC786455 OCY786455 OMU786455 OWQ786455 PGM786455 PQI786455 QAE786455 QKA786455 QTW786455 RDS786455 RNO786455 RXK786455 SHG786455 SRC786455 TAY786455 TKU786455 TUQ786455 UEM786455 UOI786455 UYE786455 VIA786455 VRW786455 WBS786455 WLO786455 WVK786455 M851991 IY851991 SU851991 ACQ851991 AMM851991 AWI851991 BGE851991 BQA851991 BZW851991 CJS851991 CTO851991 DDK851991 DNG851991 DXC851991 EGY851991 EQU851991 FAQ851991 FKM851991 FUI851991 GEE851991 GOA851991 GXW851991 HHS851991 HRO851991 IBK851991 ILG851991 IVC851991 JEY851991 JOU851991 JYQ851991 KIM851991 KSI851991 LCE851991 LMA851991 LVW851991 MFS851991 MPO851991 MZK851991 NJG851991 NTC851991 OCY851991 OMU851991 OWQ851991 PGM851991 PQI851991 QAE851991 QKA851991 QTW851991 RDS851991 RNO851991 RXK851991 SHG851991 SRC851991 TAY851991 TKU851991 TUQ851991 UEM851991 UOI851991 UYE851991 VIA851991 VRW851991 WBS851991 WLO851991 WVK851991 M917527 IY917527 SU917527 ACQ917527 AMM917527 AWI917527 BGE917527 BQA917527 BZW917527 CJS917527 CTO917527 DDK917527 DNG917527 DXC917527 EGY917527 EQU917527 FAQ917527 FKM917527 FUI917527 GEE917527 GOA917527 GXW917527 HHS917527 HRO917527 IBK917527 ILG917527 IVC917527 JEY917527 JOU917527 JYQ917527 KIM917527 KSI917527 LCE917527 LMA917527 LVW917527 MFS917527 MPO917527 MZK917527 NJG917527 NTC917527 OCY917527 OMU917527 OWQ917527 PGM917527 PQI917527 QAE917527 QKA917527 QTW917527 RDS917527 RNO917527 RXK917527 SHG917527 SRC917527 TAY917527 TKU917527 TUQ917527 UEM917527 UOI917527 UYE917527 VIA917527 VRW917527 WBS917527 WLO917527 WVK917527 M983063 IY983063 SU983063 ACQ983063 AMM983063 AWI983063 BGE983063 BQA983063 BZW983063 CJS983063 CTO983063 DDK983063 DNG983063 DXC983063 EGY983063 EQU983063 FAQ983063 FKM983063 FUI983063 GEE983063 GOA983063 GXW983063 HHS983063 HRO983063 IBK983063 ILG983063 IVC983063 JEY983063 JOU983063 JYQ983063 KIM983063 KSI983063 LCE983063 LMA983063 LVW983063 MFS983063 MPO983063 MZK983063 NJG983063 NTC983063 OCY983063 OMU983063 OWQ983063 PGM983063 PQI983063 QAE983063 QKA983063 QTW983063 RDS983063 RNO983063 RXK983063 SHG983063 SRC983063 TAY983063 TKU983063 TUQ983063 UEM983063 UOI983063 UYE983063 VIA983063 VRW983063 WBS983063 WLO983063 SU23">
      <formula1>900</formula1>
    </dataValidation>
    <dataValidation type="decimal" allowBlank="1" showErrorMessage="1" errorTitle="Ошибка" error="Допускается ввод только неотрицательных чисел!" sqref="ACT23 AMP23 AWL23 BGH23 BQD23 BZZ23 CJV23 CTR23 DDN23 DNJ23 DXF23 EHB23 EQX23 FAT23 FKP23 FUL23 GEH23 GOD23 GXZ23 HHV23 HRR23 IBN23 ILJ23 IVF23 JFB23 JOX23 JYT23 KIP23 KSL23 LCH23 LMD23 LVZ23 MFV23 MPR23 MZN23 NJJ23 NTF23 ODB23 OMX23 OWT23 PGP23 PQL23 QAH23 QKD23 QTZ23 RDV23 RNR23 RXN23 SHJ23 SRF23 TBB23 TKX23 TUT23 UEP23 UOL23 UYH23 VID23 VRZ23 WBV23 WLR23 WVN23 P23 JB23 WVN983063 P65559 JB65559 SX65559 ACT65559 AMP65559 AWL65559 BGH65559 BQD65559 BZZ65559 CJV65559 CTR65559 DDN65559 DNJ65559 DXF65559 EHB65559 EQX65559 FAT65559 FKP65559 FUL65559 GEH65559 GOD65559 GXZ65559 HHV65559 HRR65559 IBN65559 ILJ65559 IVF65559 JFB65559 JOX65559 JYT65559 KIP65559 KSL65559 LCH65559 LMD65559 LVZ65559 MFV65559 MPR65559 MZN65559 NJJ65559 NTF65559 ODB65559 OMX65559 OWT65559 PGP65559 PQL65559 QAH65559 QKD65559 QTZ65559 RDV65559 RNR65559 RXN65559 SHJ65559 SRF65559 TBB65559 TKX65559 TUT65559 UEP65559 UOL65559 UYH65559 VID65559 VRZ65559 WBV65559 WLR65559 WVN65559 P131095 JB131095 SX131095 ACT131095 AMP131095 AWL131095 BGH131095 BQD131095 BZZ131095 CJV131095 CTR131095 DDN131095 DNJ131095 DXF131095 EHB131095 EQX131095 FAT131095 FKP131095 FUL131095 GEH131095 GOD131095 GXZ131095 HHV131095 HRR131095 IBN131095 ILJ131095 IVF131095 JFB131095 JOX131095 JYT131095 KIP131095 KSL131095 LCH131095 LMD131095 LVZ131095 MFV131095 MPR131095 MZN131095 NJJ131095 NTF131095 ODB131095 OMX131095 OWT131095 PGP131095 PQL131095 QAH131095 QKD131095 QTZ131095 RDV131095 RNR131095 RXN131095 SHJ131095 SRF131095 TBB131095 TKX131095 TUT131095 UEP131095 UOL131095 UYH131095 VID131095 VRZ131095 WBV131095 WLR131095 WVN131095 P196631 JB196631 SX196631 ACT196631 AMP196631 AWL196631 BGH196631 BQD196631 BZZ196631 CJV196631 CTR196631 DDN196631 DNJ196631 DXF196631 EHB196631 EQX196631 FAT196631 FKP196631 FUL196631 GEH196631 GOD196631 GXZ196631 HHV196631 HRR196631 IBN196631 ILJ196631 IVF196631 JFB196631 JOX196631 JYT196631 KIP196631 KSL196631 LCH196631 LMD196631 LVZ196631 MFV196631 MPR196631 MZN196631 NJJ196631 NTF196631 ODB196631 OMX196631 OWT196631 PGP196631 PQL196631 QAH196631 QKD196631 QTZ196631 RDV196631 RNR196631 RXN196631 SHJ196631 SRF196631 TBB196631 TKX196631 TUT196631 UEP196631 UOL196631 UYH196631 VID196631 VRZ196631 WBV196631 WLR196631 WVN196631 P262167 JB262167 SX262167 ACT262167 AMP262167 AWL262167 BGH262167 BQD262167 BZZ262167 CJV262167 CTR262167 DDN262167 DNJ262167 DXF262167 EHB262167 EQX262167 FAT262167 FKP262167 FUL262167 GEH262167 GOD262167 GXZ262167 HHV262167 HRR262167 IBN262167 ILJ262167 IVF262167 JFB262167 JOX262167 JYT262167 KIP262167 KSL262167 LCH262167 LMD262167 LVZ262167 MFV262167 MPR262167 MZN262167 NJJ262167 NTF262167 ODB262167 OMX262167 OWT262167 PGP262167 PQL262167 QAH262167 QKD262167 QTZ262167 RDV262167 RNR262167 RXN262167 SHJ262167 SRF262167 TBB262167 TKX262167 TUT262167 UEP262167 UOL262167 UYH262167 VID262167 VRZ262167 WBV262167 WLR262167 WVN262167 P327703 JB327703 SX327703 ACT327703 AMP327703 AWL327703 BGH327703 BQD327703 BZZ327703 CJV327703 CTR327703 DDN327703 DNJ327703 DXF327703 EHB327703 EQX327703 FAT327703 FKP327703 FUL327703 GEH327703 GOD327703 GXZ327703 HHV327703 HRR327703 IBN327703 ILJ327703 IVF327703 JFB327703 JOX327703 JYT327703 KIP327703 KSL327703 LCH327703 LMD327703 LVZ327703 MFV327703 MPR327703 MZN327703 NJJ327703 NTF327703 ODB327703 OMX327703 OWT327703 PGP327703 PQL327703 QAH327703 QKD327703 QTZ327703 RDV327703 RNR327703 RXN327703 SHJ327703 SRF327703 TBB327703 TKX327703 TUT327703 UEP327703 UOL327703 UYH327703 VID327703 VRZ327703 WBV327703 WLR327703 WVN327703 P393239 JB393239 SX393239 ACT393239 AMP393239 AWL393239 BGH393239 BQD393239 BZZ393239 CJV393239 CTR393239 DDN393239 DNJ393239 DXF393239 EHB393239 EQX393239 FAT393239 FKP393239 FUL393239 GEH393239 GOD393239 GXZ393239 HHV393239 HRR393239 IBN393239 ILJ393239 IVF393239 JFB393239 JOX393239 JYT393239 KIP393239 KSL393239 LCH393239 LMD393239 LVZ393239 MFV393239 MPR393239 MZN393239 NJJ393239 NTF393239 ODB393239 OMX393239 OWT393239 PGP393239 PQL393239 QAH393239 QKD393239 QTZ393239 RDV393239 RNR393239 RXN393239 SHJ393239 SRF393239 TBB393239 TKX393239 TUT393239 UEP393239 UOL393239 UYH393239 VID393239 VRZ393239 WBV393239 WLR393239 WVN393239 P458775 JB458775 SX458775 ACT458775 AMP458775 AWL458775 BGH458775 BQD458775 BZZ458775 CJV458775 CTR458775 DDN458775 DNJ458775 DXF458775 EHB458775 EQX458775 FAT458775 FKP458775 FUL458775 GEH458775 GOD458775 GXZ458775 HHV458775 HRR458775 IBN458775 ILJ458775 IVF458775 JFB458775 JOX458775 JYT458775 KIP458775 KSL458775 LCH458775 LMD458775 LVZ458775 MFV458775 MPR458775 MZN458775 NJJ458775 NTF458775 ODB458775 OMX458775 OWT458775 PGP458775 PQL458775 QAH458775 QKD458775 QTZ458775 RDV458775 RNR458775 RXN458775 SHJ458775 SRF458775 TBB458775 TKX458775 TUT458775 UEP458775 UOL458775 UYH458775 VID458775 VRZ458775 WBV458775 WLR458775 WVN458775 P524311 JB524311 SX524311 ACT524311 AMP524311 AWL524311 BGH524311 BQD524311 BZZ524311 CJV524311 CTR524311 DDN524311 DNJ524311 DXF524311 EHB524311 EQX524311 FAT524311 FKP524311 FUL524311 GEH524311 GOD524311 GXZ524311 HHV524311 HRR524311 IBN524311 ILJ524311 IVF524311 JFB524311 JOX524311 JYT524311 KIP524311 KSL524311 LCH524311 LMD524311 LVZ524311 MFV524311 MPR524311 MZN524311 NJJ524311 NTF524311 ODB524311 OMX524311 OWT524311 PGP524311 PQL524311 QAH524311 QKD524311 QTZ524311 RDV524311 RNR524311 RXN524311 SHJ524311 SRF524311 TBB524311 TKX524311 TUT524311 UEP524311 UOL524311 UYH524311 VID524311 VRZ524311 WBV524311 WLR524311 WVN524311 P589847 JB589847 SX589847 ACT589847 AMP589847 AWL589847 BGH589847 BQD589847 BZZ589847 CJV589847 CTR589847 DDN589847 DNJ589847 DXF589847 EHB589847 EQX589847 FAT589847 FKP589847 FUL589847 GEH589847 GOD589847 GXZ589847 HHV589847 HRR589847 IBN589847 ILJ589847 IVF589847 JFB589847 JOX589847 JYT589847 KIP589847 KSL589847 LCH589847 LMD589847 LVZ589847 MFV589847 MPR589847 MZN589847 NJJ589847 NTF589847 ODB589847 OMX589847 OWT589847 PGP589847 PQL589847 QAH589847 QKD589847 QTZ589847 RDV589847 RNR589847 RXN589847 SHJ589847 SRF589847 TBB589847 TKX589847 TUT589847 UEP589847 UOL589847 UYH589847 VID589847 VRZ589847 WBV589847 WLR589847 WVN589847 P655383 JB655383 SX655383 ACT655383 AMP655383 AWL655383 BGH655383 BQD655383 BZZ655383 CJV655383 CTR655383 DDN655383 DNJ655383 DXF655383 EHB655383 EQX655383 FAT655383 FKP655383 FUL655383 GEH655383 GOD655383 GXZ655383 HHV655383 HRR655383 IBN655383 ILJ655383 IVF655383 JFB655383 JOX655383 JYT655383 KIP655383 KSL655383 LCH655383 LMD655383 LVZ655383 MFV655383 MPR655383 MZN655383 NJJ655383 NTF655383 ODB655383 OMX655383 OWT655383 PGP655383 PQL655383 QAH655383 QKD655383 QTZ655383 RDV655383 RNR655383 RXN655383 SHJ655383 SRF655383 TBB655383 TKX655383 TUT655383 UEP655383 UOL655383 UYH655383 VID655383 VRZ655383 WBV655383 WLR655383 WVN655383 P720919 JB720919 SX720919 ACT720919 AMP720919 AWL720919 BGH720919 BQD720919 BZZ720919 CJV720919 CTR720919 DDN720919 DNJ720919 DXF720919 EHB720919 EQX720919 FAT720919 FKP720919 FUL720919 GEH720919 GOD720919 GXZ720919 HHV720919 HRR720919 IBN720919 ILJ720919 IVF720919 JFB720919 JOX720919 JYT720919 KIP720919 KSL720919 LCH720919 LMD720919 LVZ720919 MFV720919 MPR720919 MZN720919 NJJ720919 NTF720919 ODB720919 OMX720919 OWT720919 PGP720919 PQL720919 QAH720919 QKD720919 QTZ720919 RDV720919 RNR720919 RXN720919 SHJ720919 SRF720919 TBB720919 TKX720919 TUT720919 UEP720919 UOL720919 UYH720919 VID720919 VRZ720919 WBV720919 WLR720919 WVN720919 P786455 JB786455 SX786455 ACT786455 AMP786455 AWL786455 BGH786455 BQD786455 BZZ786455 CJV786455 CTR786455 DDN786455 DNJ786455 DXF786455 EHB786455 EQX786455 FAT786455 FKP786455 FUL786455 GEH786455 GOD786455 GXZ786455 HHV786455 HRR786455 IBN786455 ILJ786455 IVF786455 JFB786455 JOX786455 JYT786455 KIP786455 KSL786455 LCH786455 LMD786455 LVZ786455 MFV786455 MPR786455 MZN786455 NJJ786455 NTF786455 ODB786455 OMX786455 OWT786455 PGP786455 PQL786455 QAH786455 QKD786455 QTZ786455 RDV786455 RNR786455 RXN786455 SHJ786455 SRF786455 TBB786455 TKX786455 TUT786455 UEP786455 UOL786455 UYH786455 VID786455 VRZ786455 WBV786455 WLR786455 WVN786455 P851991 JB851991 SX851991 ACT851991 AMP851991 AWL851991 BGH851991 BQD851991 BZZ851991 CJV851991 CTR851991 DDN851991 DNJ851991 DXF851991 EHB851991 EQX851991 FAT851991 FKP851991 FUL851991 GEH851991 GOD851991 GXZ851991 HHV851991 HRR851991 IBN851991 ILJ851991 IVF851991 JFB851991 JOX851991 JYT851991 KIP851991 KSL851991 LCH851991 LMD851991 LVZ851991 MFV851991 MPR851991 MZN851991 NJJ851991 NTF851991 ODB851991 OMX851991 OWT851991 PGP851991 PQL851991 QAH851991 QKD851991 QTZ851991 RDV851991 RNR851991 RXN851991 SHJ851991 SRF851991 TBB851991 TKX851991 TUT851991 UEP851991 UOL851991 UYH851991 VID851991 VRZ851991 WBV851991 WLR851991 WVN851991 P917527 JB917527 SX917527 ACT917527 AMP917527 AWL917527 BGH917527 BQD917527 BZZ917527 CJV917527 CTR917527 DDN917527 DNJ917527 DXF917527 EHB917527 EQX917527 FAT917527 FKP917527 FUL917527 GEH917527 GOD917527 GXZ917527 HHV917527 HRR917527 IBN917527 ILJ917527 IVF917527 JFB917527 JOX917527 JYT917527 KIP917527 KSL917527 LCH917527 LMD917527 LVZ917527 MFV917527 MPR917527 MZN917527 NJJ917527 NTF917527 ODB917527 OMX917527 OWT917527 PGP917527 PQL917527 QAH917527 QKD917527 QTZ917527 RDV917527 RNR917527 RXN917527 SHJ917527 SRF917527 TBB917527 TKX917527 TUT917527 UEP917527 UOL917527 UYH917527 VID917527 VRZ917527 WBV917527 WLR917527 WVN917527 P983063 JB983063 SX983063 ACT983063 AMP983063 AWL983063 BGH983063 BQD983063 BZZ983063 CJV983063 CTR983063 DDN983063 DNJ983063 DXF983063 EHB983063 EQX983063 FAT983063 FKP983063 FUL983063 GEH983063 GOD983063 GXZ983063 HHV983063 HRR983063 IBN983063 ILJ983063 IVF983063 JFB983063 JOX983063 JYT983063 KIP983063 KSL983063 LCH983063 LMD983063 LVZ983063 MFV983063 MPR983063 MZN983063 NJJ983063 NTF983063 ODB983063 OMX983063 OWT983063 PGP983063 PQL983063 QAH983063 QKD983063 QTZ983063 RDV983063 RNR983063 RXN983063 SHJ983063 SRF983063 TBB983063 TKX983063 TUT983063 UEP983063 UOL983063 UYH983063 VID983063 VRZ983063 WBV983063 WLR983063 SX23">
      <formula1>0</formula1>
      <formula2>9.99999999999999E+23</formula2>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Y23 AMU23 AWQ23 BGM23 BQI23 CAE23 CKA23 CTW23 DDS23 DNO23 DXK23 EHG23 ERC23 FAY23 FKU23 FUQ23 GEM23 GOI23 GYE23 HIA23 HRW23 IBS23 ILO23 IVK23 JFG23 JPC23 JYY23 KIU23 KSQ23 LCM23 LMI23 LWE23 MGA23 MPW23 MZS23 NJO23 NTK23 ODG23 ONC23 OWY23 PGU23 PQQ23 QAM23 QKI23 QUE23 REA23 RNW23 RXS23 SHO23 SRK23 TBG23 TLC23 TUY23 UEU23 UOQ23 UYM23 VII23 VSE23 WCA23 WLW23 WVS23 S23 JE23 TA23 U65559 JG65559 TC65559 ACY65559 AMU65559 AWQ65559 BGM65559 BQI65559 CAE65559 CKA65559 CTW65559 DDS65559 DNO65559 DXK65559 EHG65559 ERC65559 FAY65559 FKU65559 FUQ65559 GEM65559 GOI65559 GYE65559 HIA65559 HRW65559 IBS65559 ILO65559 IVK65559 JFG65559 JPC65559 JYY65559 KIU65559 KSQ65559 LCM65559 LMI65559 LWE65559 MGA65559 MPW65559 MZS65559 NJO65559 NTK65559 ODG65559 ONC65559 OWY65559 PGU65559 PQQ65559 QAM65559 QKI65559 QUE65559 REA65559 RNW65559 RXS65559 SHO65559 SRK65559 TBG65559 TLC65559 TUY65559 UEU65559 UOQ65559 UYM65559 VII65559 VSE65559 WCA65559 WLW65559 WVS65559 U131095 JG131095 TC131095 ACY131095 AMU131095 AWQ131095 BGM131095 BQI131095 CAE131095 CKA131095 CTW131095 DDS131095 DNO131095 DXK131095 EHG131095 ERC131095 FAY131095 FKU131095 FUQ131095 GEM131095 GOI131095 GYE131095 HIA131095 HRW131095 IBS131095 ILO131095 IVK131095 JFG131095 JPC131095 JYY131095 KIU131095 KSQ131095 LCM131095 LMI131095 LWE131095 MGA131095 MPW131095 MZS131095 NJO131095 NTK131095 ODG131095 ONC131095 OWY131095 PGU131095 PQQ131095 QAM131095 QKI131095 QUE131095 REA131095 RNW131095 RXS131095 SHO131095 SRK131095 TBG131095 TLC131095 TUY131095 UEU131095 UOQ131095 UYM131095 VII131095 VSE131095 WCA131095 WLW131095 WVS131095 U196631 JG196631 TC196631 ACY196631 AMU196631 AWQ196631 BGM196631 BQI196631 CAE196631 CKA196631 CTW196631 DDS196631 DNO196631 DXK196631 EHG196631 ERC196631 FAY196631 FKU196631 FUQ196631 GEM196631 GOI196631 GYE196631 HIA196631 HRW196631 IBS196631 ILO196631 IVK196631 JFG196631 JPC196631 JYY196631 KIU196631 KSQ196631 LCM196631 LMI196631 LWE196631 MGA196631 MPW196631 MZS196631 NJO196631 NTK196631 ODG196631 ONC196631 OWY196631 PGU196631 PQQ196631 QAM196631 QKI196631 QUE196631 REA196631 RNW196631 RXS196631 SHO196631 SRK196631 TBG196631 TLC196631 TUY196631 UEU196631 UOQ196631 UYM196631 VII196631 VSE196631 WCA196631 WLW196631 WVS196631 U262167 JG262167 TC262167 ACY262167 AMU262167 AWQ262167 BGM262167 BQI262167 CAE262167 CKA262167 CTW262167 DDS262167 DNO262167 DXK262167 EHG262167 ERC262167 FAY262167 FKU262167 FUQ262167 GEM262167 GOI262167 GYE262167 HIA262167 HRW262167 IBS262167 ILO262167 IVK262167 JFG262167 JPC262167 JYY262167 KIU262167 KSQ262167 LCM262167 LMI262167 LWE262167 MGA262167 MPW262167 MZS262167 NJO262167 NTK262167 ODG262167 ONC262167 OWY262167 PGU262167 PQQ262167 QAM262167 QKI262167 QUE262167 REA262167 RNW262167 RXS262167 SHO262167 SRK262167 TBG262167 TLC262167 TUY262167 UEU262167 UOQ262167 UYM262167 VII262167 VSE262167 WCA262167 WLW262167 WVS262167 U327703 JG327703 TC327703 ACY327703 AMU327703 AWQ327703 BGM327703 BQI327703 CAE327703 CKA327703 CTW327703 DDS327703 DNO327703 DXK327703 EHG327703 ERC327703 FAY327703 FKU327703 FUQ327703 GEM327703 GOI327703 GYE327703 HIA327703 HRW327703 IBS327703 ILO327703 IVK327703 JFG327703 JPC327703 JYY327703 KIU327703 KSQ327703 LCM327703 LMI327703 LWE327703 MGA327703 MPW327703 MZS327703 NJO327703 NTK327703 ODG327703 ONC327703 OWY327703 PGU327703 PQQ327703 QAM327703 QKI327703 QUE327703 REA327703 RNW327703 RXS327703 SHO327703 SRK327703 TBG327703 TLC327703 TUY327703 UEU327703 UOQ327703 UYM327703 VII327703 VSE327703 WCA327703 WLW327703 WVS327703 U393239 JG393239 TC393239 ACY393239 AMU393239 AWQ393239 BGM393239 BQI393239 CAE393239 CKA393239 CTW393239 DDS393239 DNO393239 DXK393239 EHG393239 ERC393239 FAY393239 FKU393239 FUQ393239 GEM393239 GOI393239 GYE393239 HIA393239 HRW393239 IBS393239 ILO393239 IVK393239 JFG393239 JPC393239 JYY393239 KIU393239 KSQ393239 LCM393239 LMI393239 LWE393239 MGA393239 MPW393239 MZS393239 NJO393239 NTK393239 ODG393239 ONC393239 OWY393239 PGU393239 PQQ393239 QAM393239 QKI393239 QUE393239 REA393239 RNW393239 RXS393239 SHO393239 SRK393239 TBG393239 TLC393239 TUY393239 UEU393239 UOQ393239 UYM393239 VII393239 VSE393239 WCA393239 WLW393239 WVS393239 U458775 JG458775 TC458775 ACY458775 AMU458775 AWQ458775 BGM458775 BQI458775 CAE458775 CKA458775 CTW458775 DDS458775 DNO458775 DXK458775 EHG458775 ERC458775 FAY458775 FKU458775 FUQ458775 GEM458775 GOI458775 GYE458775 HIA458775 HRW458775 IBS458775 ILO458775 IVK458775 JFG458775 JPC458775 JYY458775 KIU458775 KSQ458775 LCM458775 LMI458775 LWE458775 MGA458775 MPW458775 MZS458775 NJO458775 NTK458775 ODG458775 ONC458775 OWY458775 PGU458775 PQQ458775 QAM458775 QKI458775 QUE458775 REA458775 RNW458775 RXS458775 SHO458775 SRK458775 TBG458775 TLC458775 TUY458775 UEU458775 UOQ458775 UYM458775 VII458775 VSE458775 WCA458775 WLW458775 WVS458775 U524311 JG524311 TC524311 ACY524311 AMU524311 AWQ524311 BGM524311 BQI524311 CAE524311 CKA524311 CTW524311 DDS524311 DNO524311 DXK524311 EHG524311 ERC524311 FAY524311 FKU524311 FUQ524311 GEM524311 GOI524311 GYE524311 HIA524311 HRW524311 IBS524311 ILO524311 IVK524311 JFG524311 JPC524311 JYY524311 KIU524311 KSQ524311 LCM524311 LMI524311 LWE524311 MGA524311 MPW524311 MZS524311 NJO524311 NTK524311 ODG524311 ONC524311 OWY524311 PGU524311 PQQ524311 QAM524311 QKI524311 QUE524311 REA524311 RNW524311 RXS524311 SHO524311 SRK524311 TBG524311 TLC524311 TUY524311 UEU524311 UOQ524311 UYM524311 VII524311 VSE524311 WCA524311 WLW524311 WVS524311 U589847 JG589847 TC589847 ACY589847 AMU589847 AWQ589847 BGM589847 BQI589847 CAE589847 CKA589847 CTW589847 DDS589847 DNO589847 DXK589847 EHG589847 ERC589847 FAY589847 FKU589847 FUQ589847 GEM589847 GOI589847 GYE589847 HIA589847 HRW589847 IBS589847 ILO589847 IVK589847 JFG589847 JPC589847 JYY589847 KIU589847 KSQ589847 LCM589847 LMI589847 LWE589847 MGA589847 MPW589847 MZS589847 NJO589847 NTK589847 ODG589847 ONC589847 OWY589847 PGU589847 PQQ589847 QAM589847 QKI589847 QUE589847 REA589847 RNW589847 RXS589847 SHO589847 SRK589847 TBG589847 TLC589847 TUY589847 UEU589847 UOQ589847 UYM589847 VII589847 VSE589847 WCA589847 WLW589847 WVS589847 U655383 JG655383 TC655383 ACY655383 AMU655383 AWQ655383 BGM655383 BQI655383 CAE655383 CKA655383 CTW655383 DDS655383 DNO655383 DXK655383 EHG655383 ERC655383 FAY655383 FKU655383 FUQ655383 GEM655383 GOI655383 GYE655383 HIA655383 HRW655383 IBS655383 ILO655383 IVK655383 JFG655383 JPC655383 JYY655383 KIU655383 KSQ655383 LCM655383 LMI655383 LWE655383 MGA655383 MPW655383 MZS655383 NJO655383 NTK655383 ODG655383 ONC655383 OWY655383 PGU655383 PQQ655383 QAM655383 QKI655383 QUE655383 REA655383 RNW655383 RXS655383 SHO655383 SRK655383 TBG655383 TLC655383 TUY655383 UEU655383 UOQ655383 UYM655383 VII655383 VSE655383 WCA655383 WLW655383 WVS655383 U720919 JG720919 TC720919 ACY720919 AMU720919 AWQ720919 BGM720919 BQI720919 CAE720919 CKA720919 CTW720919 DDS720919 DNO720919 DXK720919 EHG720919 ERC720919 FAY720919 FKU720919 FUQ720919 GEM720919 GOI720919 GYE720919 HIA720919 HRW720919 IBS720919 ILO720919 IVK720919 JFG720919 JPC720919 JYY720919 KIU720919 KSQ720919 LCM720919 LMI720919 LWE720919 MGA720919 MPW720919 MZS720919 NJO720919 NTK720919 ODG720919 ONC720919 OWY720919 PGU720919 PQQ720919 QAM720919 QKI720919 QUE720919 REA720919 RNW720919 RXS720919 SHO720919 SRK720919 TBG720919 TLC720919 TUY720919 UEU720919 UOQ720919 UYM720919 VII720919 VSE720919 WCA720919 WLW720919 WVS720919 U786455 JG786455 TC786455 ACY786455 AMU786455 AWQ786455 BGM786455 BQI786455 CAE786455 CKA786455 CTW786455 DDS786455 DNO786455 DXK786455 EHG786455 ERC786455 FAY786455 FKU786455 FUQ786455 GEM786455 GOI786455 GYE786455 HIA786455 HRW786455 IBS786455 ILO786455 IVK786455 JFG786455 JPC786455 JYY786455 KIU786455 KSQ786455 LCM786455 LMI786455 LWE786455 MGA786455 MPW786455 MZS786455 NJO786455 NTK786455 ODG786455 ONC786455 OWY786455 PGU786455 PQQ786455 QAM786455 QKI786455 QUE786455 REA786455 RNW786455 RXS786455 SHO786455 SRK786455 TBG786455 TLC786455 TUY786455 UEU786455 UOQ786455 UYM786455 VII786455 VSE786455 WCA786455 WLW786455 WVS786455 U851991 JG851991 TC851991 ACY851991 AMU851991 AWQ851991 BGM851991 BQI851991 CAE851991 CKA851991 CTW851991 DDS851991 DNO851991 DXK851991 EHG851991 ERC851991 FAY851991 FKU851991 FUQ851991 GEM851991 GOI851991 GYE851991 HIA851991 HRW851991 IBS851991 ILO851991 IVK851991 JFG851991 JPC851991 JYY851991 KIU851991 KSQ851991 LCM851991 LMI851991 LWE851991 MGA851991 MPW851991 MZS851991 NJO851991 NTK851991 ODG851991 ONC851991 OWY851991 PGU851991 PQQ851991 QAM851991 QKI851991 QUE851991 REA851991 RNW851991 RXS851991 SHO851991 SRK851991 TBG851991 TLC851991 TUY851991 UEU851991 UOQ851991 UYM851991 VII851991 VSE851991 WCA851991 WLW851991 WVS851991 U917527 JG917527 TC917527 ACY917527 AMU917527 AWQ917527 BGM917527 BQI917527 CAE917527 CKA917527 CTW917527 DDS917527 DNO917527 DXK917527 EHG917527 ERC917527 FAY917527 FKU917527 FUQ917527 GEM917527 GOI917527 GYE917527 HIA917527 HRW917527 IBS917527 ILO917527 IVK917527 JFG917527 JPC917527 JYY917527 KIU917527 KSQ917527 LCM917527 LMI917527 LWE917527 MGA917527 MPW917527 MZS917527 NJO917527 NTK917527 ODG917527 ONC917527 OWY917527 PGU917527 PQQ917527 QAM917527 QKI917527 QUE917527 REA917527 RNW917527 RXS917527 SHO917527 SRK917527 TBG917527 TLC917527 TUY917527 UEU917527 UOQ917527 UYM917527 VII917527 VSE917527 WCA917527 WLW917527 WVS917527 U983063 JG983063 TC983063 ACY983063 AMU983063 AWQ983063 BGM983063 BQI983063 CAE983063 CKA983063 CTW983063 DDS983063 DNO983063 DXK983063 EHG983063 ERC983063 FAY983063 FKU983063 FUQ983063 GEM983063 GOI983063 GYE983063 HIA983063 HRW983063 IBS983063 ILO983063 IVK983063 JFG983063 JPC983063 JYY983063 KIU983063 KSQ983063 LCM983063 LMI983063 LWE983063 MGA983063 MPW983063 MZS983063 NJO983063 NTK983063 ODG983063 ONC983063 OWY983063 PGU983063 PQQ983063 QAM983063 QKI983063 QUE983063 REA983063 RNW983063 RXS983063 SHO983063 SRK983063 TBG983063 TLC983063 TUY983063 UEU983063 UOQ983063 UYM983063 VII983063 VSE983063 WCA983063 WLW983063 WVS983063 ACW23 AMS23 AWO23 BGK23 BQG23 CAC23 CJY23 CTU23 DDQ23 DNM23 DXI23 EHE23 ERA23 FAW23 FKS23 FUO23 GEK23 GOG23 GYC23 HHY23 HRU23 IBQ23 ILM23 IVI23 JFE23 JPA23 JYW23 KIS23 KSO23 LCK23 LMG23 LWC23 MFY23 MPU23 MZQ23 NJM23 NTI23 ODE23 ONA23 OWW23 PGS23 PQO23 QAK23 QKG23 QUC23 RDY23 RNU23 RXQ23 SHM23 SRI23 TBE23 TLA23 TUW23 UES23 UOO23 UYK23 VIG23 VSC23 WBY23 WLU23 WVQ23 JG23 WVQ983063 S65559 JE65559 TA65559 ACW65559 AMS65559 AWO65559 BGK65559 BQG65559 CAC65559 CJY65559 CTU65559 DDQ65559 DNM65559 DXI65559 EHE65559 ERA65559 FAW65559 FKS65559 FUO65559 GEK65559 GOG65559 GYC65559 HHY65559 HRU65559 IBQ65559 ILM65559 IVI65559 JFE65559 JPA65559 JYW65559 KIS65559 KSO65559 LCK65559 LMG65559 LWC65559 MFY65559 MPU65559 MZQ65559 NJM65559 NTI65559 ODE65559 ONA65559 OWW65559 PGS65559 PQO65559 QAK65559 QKG65559 QUC65559 RDY65559 RNU65559 RXQ65559 SHM65559 SRI65559 TBE65559 TLA65559 TUW65559 UES65559 UOO65559 UYK65559 VIG65559 VSC65559 WBY65559 WLU65559 WVQ65559 S131095 JE131095 TA131095 ACW131095 AMS131095 AWO131095 BGK131095 BQG131095 CAC131095 CJY131095 CTU131095 DDQ131095 DNM131095 DXI131095 EHE131095 ERA131095 FAW131095 FKS131095 FUO131095 GEK131095 GOG131095 GYC131095 HHY131095 HRU131095 IBQ131095 ILM131095 IVI131095 JFE131095 JPA131095 JYW131095 KIS131095 KSO131095 LCK131095 LMG131095 LWC131095 MFY131095 MPU131095 MZQ131095 NJM131095 NTI131095 ODE131095 ONA131095 OWW131095 PGS131095 PQO131095 QAK131095 QKG131095 QUC131095 RDY131095 RNU131095 RXQ131095 SHM131095 SRI131095 TBE131095 TLA131095 TUW131095 UES131095 UOO131095 UYK131095 VIG131095 VSC131095 WBY131095 WLU131095 WVQ131095 S196631 JE196631 TA196631 ACW196631 AMS196631 AWO196631 BGK196631 BQG196631 CAC196631 CJY196631 CTU196631 DDQ196631 DNM196631 DXI196631 EHE196631 ERA196631 FAW196631 FKS196631 FUO196631 GEK196631 GOG196631 GYC196631 HHY196631 HRU196631 IBQ196631 ILM196631 IVI196631 JFE196631 JPA196631 JYW196631 KIS196631 KSO196631 LCK196631 LMG196631 LWC196631 MFY196631 MPU196631 MZQ196631 NJM196631 NTI196631 ODE196631 ONA196631 OWW196631 PGS196631 PQO196631 QAK196631 QKG196631 QUC196631 RDY196631 RNU196631 RXQ196631 SHM196631 SRI196631 TBE196631 TLA196631 TUW196631 UES196631 UOO196631 UYK196631 VIG196631 VSC196631 WBY196631 WLU196631 WVQ196631 S262167 JE262167 TA262167 ACW262167 AMS262167 AWO262167 BGK262167 BQG262167 CAC262167 CJY262167 CTU262167 DDQ262167 DNM262167 DXI262167 EHE262167 ERA262167 FAW262167 FKS262167 FUO262167 GEK262167 GOG262167 GYC262167 HHY262167 HRU262167 IBQ262167 ILM262167 IVI262167 JFE262167 JPA262167 JYW262167 KIS262167 KSO262167 LCK262167 LMG262167 LWC262167 MFY262167 MPU262167 MZQ262167 NJM262167 NTI262167 ODE262167 ONA262167 OWW262167 PGS262167 PQO262167 QAK262167 QKG262167 QUC262167 RDY262167 RNU262167 RXQ262167 SHM262167 SRI262167 TBE262167 TLA262167 TUW262167 UES262167 UOO262167 UYK262167 VIG262167 VSC262167 WBY262167 WLU262167 WVQ262167 S327703 JE327703 TA327703 ACW327703 AMS327703 AWO327703 BGK327703 BQG327703 CAC327703 CJY327703 CTU327703 DDQ327703 DNM327703 DXI327703 EHE327703 ERA327703 FAW327703 FKS327703 FUO327703 GEK327703 GOG327703 GYC327703 HHY327703 HRU327703 IBQ327703 ILM327703 IVI327703 JFE327703 JPA327703 JYW327703 KIS327703 KSO327703 LCK327703 LMG327703 LWC327703 MFY327703 MPU327703 MZQ327703 NJM327703 NTI327703 ODE327703 ONA327703 OWW327703 PGS327703 PQO327703 QAK327703 QKG327703 QUC327703 RDY327703 RNU327703 RXQ327703 SHM327703 SRI327703 TBE327703 TLA327703 TUW327703 UES327703 UOO327703 UYK327703 VIG327703 VSC327703 WBY327703 WLU327703 WVQ327703 S393239 JE393239 TA393239 ACW393239 AMS393239 AWO393239 BGK393239 BQG393239 CAC393239 CJY393239 CTU393239 DDQ393239 DNM393239 DXI393239 EHE393239 ERA393239 FAW393239 FKS393239 FUO393239 GEK393239 GOG393239 GYC393239 HHY393239 HRU393239 IBQ393239 ILM393239 IVI393239 JFE393239 JPA393239 JYW393239 KIS393239 KSO393239 LCK393239 LMG393239 LWC393239 MFY393239 MPU393239 MZQ393239 NJM393239 NTI393239 ODE393239 ONA393239 OWW393239 PGS393239 PQO393239 QAK393239 QKG393239 QUC393239 RDY393239 RNU393239 RXQ393239 SHM393239 SRI393239 TBE393239 TLA393239 TUW393239 UES393239 UOO393239 UYK393239 VIG393239 VSC393239 WBY393239 WLU393239 WVQ393239 S458775 JE458775 TA458775 ACW458775 AMS458775 AWO458775 BGK458775 BQG458775 CAC458775 CJY458775 CTU458775 DDQ458775 DNM458775 DXI458775 EHE458775 ERA458775 FAW458775 FKS458775 FUO458775 GEK458775 GOG458775 GYC458775 HHY458775 HRU458775 IBQ458775 ILM458775 IVI458775 JFE458775 JPA458775 JYW458775 KIS458775 KSO458775 LCK458775 LMG458775 LWC458775 MFY458775 MPU458775 MZQ458775 NJM458775 NTI458775 ODE458775 ONA458775 OWW458775 PGS458775 PQO458775 QAK458775 QKG458775 QUC458775 RDY458775 RNU458775 RXQ458775 SHM458775 SRI458775 TBE458775 TLA458775 TUW458775 UES458775 UOO458775 UYK458775 VIG458775 VSC458775 WBY458775 WLU458775 WVQ458775 S524311 JE524311 TA524311 ACW524311 AMS524311 AWO524311 BGK524311 BQG524311 CAC524311 CJY524311 CTU524311 DDQ524311 DNM524311 DXI524311 EHE524311 ERA524311 FAW524311 FKS524311 FUO524311 GEK524311 GOG524311 GYC524311 HHY524311 HRU524311 IBQ524311 ILM524311 IVI524311 JFE524311 JPA524311 JYW524311 KIS524311 KSO524311 LCK524311 LMG524311 LWC524311 MFY524311 MPU524311 MZQ524311 NJM524311 NTI524311 ODE524311 ONA524311 OWW524311 PGS524311 PQO524311 QAK524311 QKG524311 QUC524311 RDY524311 RNU524311 RXQ524311 SHM524311 SRI524311 TBE524311 TLA524311 TUW524311 UES524311 UOO524311 UYK524311 VIG524311 VSC524311 WBY524311 WLU524311 WVQ524311 S589847 JE589847 TA589847 ACW589847 AMS589847 AWO589847 BGK589847 BQG589847 CAC589847 CJY589847 CTU589847 DDQ589847 DNM589847 DXI589847 EHE589847 ERA589847 FAW589847 FKS589847 FUO589847 GEK589847 GOG589847 GYC589847 HHY589847 HRU589847 IBQ589847 ILM589847 IVI589847 JFE589847 JPA589847 JYW589847 KIS589847 KSO589847 LCK589847 LMG589847 LWC589847 MFY589847 MPU589847 MZQ589847 NJM589847 NTI589847 ODE589847 ONA589847 OWW589847 PGS589847 PQO589847 QAK589847 QKG589847 QUC589847 RDY589847 RNU589847 RXQ589847 SHM589847 SRI589847 TBE589847 TLA589847 TUW589847 UES589847 UOO589847 UYK589847 VIG589847 VSC589847 WBY589847 WLU589847 WVQ589847 S655383 JE655383 TA655383 ACW655383 AMS655383 AWO655383 BGK655383 BQG655383 CAC655383 CJY655383 CTU655383 DDQ655383 DNM655383 DXI655383 EHE655383 ERA655383 FAW655383 FKS655383 FUO655383 GEK655383 GOG655383 GYC655383 HHY655383 HRU655383 IBQ655383 ILM655383 IVI655383 JFE655383 JPA655383 JYW655383 KIS655383 KSO655383 LCK655383 LMG655383 LWC655383 MFY655383 MPU655383 MZQ655383 NJM655383 NTI655383 ODE655383 ONA655383 OWW655383 PGS655383 PQO655383 QAK655383 QKG655383 QUC655383 RDY655383 RNU655383 RXQ655383 SHM655383 SRI655383 TBE655383 TLA655383 TUW655383 UES655383 UOO655383 UYK655383 VIG655383 VSC655383 WBY655383 WLU655383 WVQ655383 S720919 JE720919 TA720919 ACW720919 AMS720919 AWO720919 BGK720919 BQG720919 CAC720919 CJY720919 CTU720919 DDQ720919 DNM720919 DXI720919 EHE720919 ERA720919 FAW720919 FKS720919 FUO720919 GEK720919 GOG720919 GYC720919 HHY720919 HRU720919 IBQ720919 ILM720919 IVI720919 JFE720919 JPA720919 JYW720919 KIS720919 KSO720919 LCK720919 LMG720919 LWC720919 MFY720919 MPU720919 MZQ720919 NJM720919 NTI720919 ODE720919 ONA720919 OWW720919 PGS720919 PQO720919 QAK720919 QKG720919 QUC720919 RDY720919 RNU720919 RXQ720919 SHM720919 SRI720919 TBE720919 TLA720919 TUW720919 UES720919 UOO720919 UYK720919 VIG720919 VSC720919 WBY720919 WLU720919 WVQ720919 S786455 JE786455 TA786455 ACW786455 AMS786455 AWO786455 BGK786455 BQG786455 CAC786455 CJY786455 CTU786455 DDQ786455 DNM786455 DXI786455 EHE786455 ERA786455 FAW786455 FKS786455 FUO786455 GEK786455 GOG786455 GYC786455 HHY786455 HRU786455 IBQ786455 ILM786455 IVI786455 JFE786455 JPA786455 JYW786455 KIS786455 KSO786455 LCK786455 LMG786455 LWC786455 MFY786455 MPU786455 MZQ786455 NJM786455 NTI786455 ODE786455 ONA786455 OWW786455 PGS786455 PQO786455 QAK786455 QKG786455 QUC786455 RDY786455 RNU786455 RXQ786455 SHM786455 SRI786455 TBE786455 TLA786455 TUW786455 UES786455 UOO786455 UYK786455 VIG786455 VSC786455 WBY786455 WLU786455 WVQ786455 S851991 JE851991 TA851991 ACW851991 AMS851991 AWO851991 BGK851991 BQG851991 CAC851991 CJY851991 CTU851991 DDQ851991 DNM851991 DXI851991 EHE851991 ERA851991 FAW851991 FKS851991 FUO851991 GEK851991 GOG851991 GYC851991 HHY851991 HRU851991 IBQ851991 ILM851991 IVI851991 JFE851991 JPA851991 JYW851991 KIS851991 KSO851991 LCK851991 LMG851991 LWC851991 MFY851991 MPU851991 MZQ851991 NJM851991 NTI851991 ODE851991 ONA851991 OWW851991 PGS851991 PQO851991 QAK851991 QKG851991 QUC851991 RDY851991 RNU851991 RXQ851991 SHM851991 SRI851991 TBE851991 TLA851991 TUW851991 UES851991 UOO851991 UYK851991 VIG851991 VSC851991 WBY851991 WLU851991 WVQ851991 S917527 JE917527 TA917527 ACW917527 AMS917527 AWO917527 BGK917527 BQG917527 CAC917527 CJY917527 CTU917527 DDQ917527 DNM917527 DXI917527 EHE917527 ERA917527 FAW917527 FKS917527 FUO917527 GEK917527 GOG917527 GYC917527 HHY917527 HRU917527 IBQ917527 ILM917527 IVI917527 JFE917527 JPA917527 JYW917527 KIS917527 KSO917527 LCK917527 LMG917527 LWC917527 MFY917527 MPU917527 MZQ917527 NJM917527 NTI917527 ODE917527 ONA917527 OWW917527 PGS917527 PQO917527 QAK917527 QKG917527 QUC917527 RDY917527 RNU917527 RXQ917527 SHM917527 SRI917527 TBE917527 TLA917527 TUW917527 UES917527 UOO917527 UYK917527 VIG917527 VSC917527 WBY917527 WLU917527 WVQ917527 S983063 JE983063 TA983063 ACW983063 AMS983063 AWO983063 BGK983063 BQG983063 CAC983063 CJY983063 CTU983063 DDQ983063 DNM983063 DXI983063 EHE983063 ERA983063 FAW983063 FKS983063 FUO983063 GEK983063 GOG983063 GYC983063 HHY983063 HRU983063 IBQ983063 ILM983063 IVI983063 JFE983063 JPA983063 JYW983063 KIS983063 KSO983063 LCK983063 LMG983063 LWC983063 MFY983063 MPU983063 MZQ983063 NJM983063 NTI983063 ODE983063 ONA983063 OWW983063 PGS983063 PQO983063 QAK983063 QKG983063 QUC983063 RDY983063 RNU983063 RXQ983063 SHM983063 SRI983063 TBE983063 TLA983063 TUW983063 UES983063 UOO983063 UYK983063 VIG983063 VSC983063 WBY983063 WLU983063 TC23"/>
    <dataValidation type="decimal" allowBlank="1" showErrorMessage="1" errorTitle="Ошибка" error="Допускается ввод только действительных чисел!" sqref="ACU23:ACV23 AMQ23:AMR23 AWM23:AWN23 BGI23:BGJ23 BQE23:BQF23 CAA23:CAB23 CJW23:CJX23 CTS23:CTT23 DDO23:DDP23 DNK23:DNL23 DXG23:DXH23 EHC23:EHD23 EQY23:EQZ23 FAU23:FAV23 FKQ23:FKR23 FUM23:FUN23 GEI23:GEJ23 GOE23:GOF23 GYA23:GYB23 HHW23:HHX23 HRS23:HRT23 IBO23:IBP23 ILK23:ILL23 IVG23:IVH23 JFC23:JFD23 JOY23:JOZ23 JYU23:JYV23 KIQ23:KIR23 KSM23:KSN23 LCI23:LCJ23 LME23:LMF23 LWA23:LWB23 MFW23:MFX23 MPS23:MPT23 MZO23:MZP23 NJK23:NJL23 NTG23:NTH23 ODC23:ODD23 OMY23:OMZ23 OWU23:OWV23 PGQ23:PGR23 PQM23:PQN23 QAI23:QAJ23 QKE23:QKF23 QUA23:QUB23 RDW23:RDX23 RNS23:RNT23 RXO23:RXP23 SHK23:SHL23 SRG23:SRH23 TBC23:TBD23 TKY23:TKZ23 TUU23:TUV23 UEQ23:UER23 UOM23:UON23 UYI23:UYJ23 VIE23:VIF23 VSA23:VSB23 WBW23:WBX23 WLS23:WLT23 WVO23:WVP23 Q23:R23 JC23:JD23 WVO983063:WVP983063 Q65559:R65559 JC65559:JD65559 SY65559:SZ65559 ACU65559:ACV65559 AMQ65559:AMR65559 AWM65559:AWN65559 BGI65559:BGJ65559 BQE65559:BQF65559 CAA65559:CAB65559 CJW65559:CJX65559 CTS65559:CTT65559 DDO65559:DDP65559 DNK65559:DNL65559 DXG65559:DXH65559 EHC65559:EHD65559 EQY65559:EQZ65559 FAU65559:FAV65559 FKQ65559:FKR65559 FUM65559:FUN65559 GEI65559:GEJ65559 GOE65559:GOF65559 GYA65559:GYB65559 HHW65559:HHX65559 HRS65559:HRT65559 IBO65559:IBP65559 ILK65559:ILL65559 IVG65559:IVH65559 JFC65559:JFD65559 JOY65559:JOZ65559 JYU65559:JYV65559 KIQ65559:KIR65559 KSM65559:KSN65559 LCI65559:LCJ65559 LME65559:LMF65559 LWA65559:LWB65559 MFW65559:MFX65559 MPS65559:MPT65559 MZO65559:MZP65559 NJK65559:NJL65559 NTG65559:NTH65559 ODC65559:ODD65559 OMY65559:OMZ65559 OWU65559:OWV65559 PGQ65559:PGR65559 PQM65559:PQN65559 QAI65559:QAJ65559 QKE65559:QKF65559 QUA65559:QUB65559 RDW65559:RDX65559 RNS65559:RNT65559 RXO65559:RXP65559 SHK65559:SHL65559 SRG65559:SRH65559 TBC65559:TBD65559 TKY65559:TKZ65559 TUU65559:TUV65559 UEQ65559:UER65559 UOM65559:UON65559 UYI65559:UYJ65559 VIE65559:VIF65559 VSA65559:VSB65559 WBW65559:WBX65559 WLS65559:WLT65559 WVO65559:WVP65559 Q131095:R131095 JC131095:JD131095 SY131095:SZ131095 ACU131095:ACV131095 AMQ131095:AMR131095 AWM131095:AWN131095 BGI131095:BGJ131095 BQE131095:BQF131095 CAA131095:CAB131095 CJW131095:CJX131095 CTS131095:CTT131095 DDO131095:DDP131095 DNK131095:DNL131095 DXG131095:DXH131095 EHC131095:EHD131095 EQY131095:EQZ131095 FAU131095:FAV131095 FKQ131095:FKR131095 FUM131095:FUN131095 GEI131095:GEJ131095 GOE131095:GOF131095 GYA131095:GYB131095 HHW131095:HHX131095 HRS131095:HRT131095 IBO131095:IBP131095 ILK131095:ILL131095 IVG131095:IVH131095 JFC131095:JFD131095 JOY131095:JOZ131095 JYU131095:JYV131095 KIQ131095:KIR131095 KSM131095:KSN131095 LCI131095:LCJ131095 LME131095:LMF131095 LWA131095:LWB131095 MFW131095:MFX131095 MPS131095:MPT131095 MZO131095:MZP131095 NJK131095:NJL131095 NTG131095:NTH131095 ODC131095:ODD131095 OMY131095:OMZ131095 OWU131095:OWV131095 PGQ131095:PGR131095 PQM131095:PQN131095 QAI131095:QAJ131095 QKE131095:QKF131095 QUA131095:QUB131095 RDW131095:RDX131095 RNS131095:RNT131095 RXO131095:RXP131095 SHK131095:SHL131095 SRG131095:SRH131095 TBC131095:TBD131095 TKY131095:TKZ131095 TUU131095:TUV131095 UEQ131095:UER131095 UOM131095:UON131095 UYI131095:UYJ131095 VIE131095:VIF131095 VSA131095:VSB131095 WBW131095:WBX131095 WLS131095:WLT131095 WVO131095:WVP131095 Q196631:R196631 JC196631:JD196631 SY196631:SZ196631 ACU196631:ACV196631 AMQ196631:AMR196631 AWM196631:AWN196631 BGI196631:BGJ196631 BQE196631:BQF196631 CAA196631:CAB196631 CJW196631:CJX196631 CTS196631:CTT196631 DDO196631:DDP196631 DNK196631:DNL196631 DXG196631:DXH196631 EHC196631:EHD196631 EQY196631:EQZ196631 FAU196631:FAV196631 FKQ196631:FKR196631 FUM196631:FUN196631 GEI196631:GEJ196631 GOE196631:GOF196631 GYA196631:GYB196631 HHW196631:HHX196631 HRS196631:HRT196631 IBO196631:IBP196631 ILK196631:ILL196631 IVG196631:IVH196631 JFC196631:JFD196631 JOY196631:JOZ196631 JYU196631:JYV196631 KIQ196631:KIR196631 KSM196631:KSN196631 LCI196631:LCJ196631 LME196631:LMF196631 LWA196631:LWB196631 MFW196631:MFX196631 MPS196631:MPT196631 MZO196631:MZP196631 NJK196631:NJL196631 NTG196631:NTH196631 ODC196631:ODD196631 OMY196631:OMZ196631 OWU196631:OWV196631 PGQ196631:PGR196631 PQM196631:PQN196631 QAI196631:QAJ196631 QKE196631:QKF196631 QUA196631:QUB196631 RDW196631:RDX196631 RNS196631:RNT196631 RXO196631:RXP196631 SHK196631:SHL196631 SRG196631:SRH196631 TBC196631:TBD196631 TKY196631:TKZ196631 TUU196631:TUV196631 UEQ196631:UER196631 UOM196631:UON196631 UYI196631:UYJ196631 VIE196631:VIF196631 VSA196631:VSB196631 WBW196631:WBX196631 WLS196631:WLT196631 WVO196631:WVP196631 Q262167:R262167 JC262167:JD262167 SY262167:SZ262167 ACU262167:ACV262167 AMQ262167:AMR262167 AWM262167:AWN262167 BGI262167:BGJ262167 BQE262167:BQF262167 CAA262167:CAB262167 CJW262167:CJX262167 CTS262167:CTT262167 DDO262167:DDP262167 DNK262167:DNL262167 DXG262167:DXH262167 EHC262167:EHD262167 EQY262167:EQZ262167 FAU262167:FAV262167 FKQ262167:FKR262167 FUM262167:FUN262167 GEI262167:GEJ262167 GOE262167:GOF262167 GYA262167:GYB262167 HHW262167:HHX262167 HRS262167:HRT262167 IBO262167:IBP262167 ILK262167:ILL262167 IVG262167:IVH262167 JFC262167:JFD262167 JOY262167:JOZ262167 JYU262167:JYV262167 KIQ262167:KIR262167 KSM262167:KSN262167 LCI262167:LCJ262167 LME262167:LMF262167 LWA262167:LWB262167 MFW262167:MFX262167 MPS262167:MPT262167 MZO262167:MZP262167 NJK262167:NJL262167 NTG262167:NTH262167 ODC262167:ODD262167 OMY262167:OMZ262167 OWU262167:OWV262167 PGQ262167:PGR262167 PQM262167:PQN262167 QAI262167:QAJ262167 QKE262167:QKF262167 QUA262167:QUB262167 RDW262167:RDX262167 RNS262167:RNT262167 RXO262167:RXP262167 SHK262167:SHL262167 SRG262167:SRH262167 TBC262167:TBD262167 TKY262167:TKZ262167 TUU262167:TUV262167 UEQ262167:UER262167 UOM262167:UON262167 UYI262167:UYJ262167 VIE262167:VIF262167 VSA262167:VSB262167 WBW262167:WBX262167 WLS262167:WLT262167 WVO262167:WVP262167 Q327703:R327703 JC327703:JD327703 SY327703:SZ327703 ACU327703:ACV327703 AMQ327703:AMR327703 AWM327703:AWN327703 BGI327703:BGJ327703 BQE327703:BQF327703 CAA327703:CAB327703 CJW327703:CJX327703 CTS327703:CTT327703 DDO327703:DDP327703 DNK327703:DNL327703 DXG327703:DXH327703 EHC327703:EHD327703 EQY327703:EQZ327703 FAU327703:FAV327703 FKQ327703:FKR327703 FUM327703:FUN327703 GEI327703:GEJ327703 GOE327703:GOF327703 GYA327703:GYB327703 HHW327703:HHX327703 HRS327703:HRT327703 IBO327703:IBP327703 ILK327703:ILL327703 IVG327703:IVH327703 JFC327703:JFD327703 JOY327703:JOZ327703 JYU327703:JYV327703 KIQ327703:KIR327703 KSM327703:KSN327703 LCI327703:LCJ327703 LME327703:LMF327703 LWA327703:LWB327703 MFW327703:MFX327703 MPS327703:MPT327703 MZO327703:MZP327703 NJK327703:NJL327703 NTG327703:NTH327703 ODC327703:ODD327703 OMY327703:OMZ327703 OWU327703:OWV327703 PGQ327703:PGR327703 PQM327703:PQN327703 QAI327703:QAJ327703 QKE327703:QKF327703 QUA327703:QUB327703 RDW327703:RDX327703 RNS327703:RNT327703 RXO327703:RXP327703 SHK327703:SHL327703 SRG327703:SRH327703 TBC327703:TBD327703 TKY327703:TKZ327703 TUU327703:TUV327703 UEQ327703:UER327703 UOM327703:UON327703 UYI327703:UYJ327703 VIE327703:VIF327703 VSA327703:VSB327703 WBW327703:WBX327703 WLS327703:WLT327703 WVO327703:WVP327703 Q393239:R393239 JC393239:JD393239 SY393239:SZ393239 ACU393239:ACV393239 AMQ393239:AMR393239 AWM393239:AWN393239 BGI393239:BGJ393239 BQE393239:BQF393239 CAA393239:CAB393239 CJW393239:CJX393239 CTS393239:CTT393239 DDO393239:DDP393239 DNK393239:DNL393239 DXG393239:DXH393239 EHC393239:EHD393239 EQY393239:EQZ393239 FAU393239:FAV393239 FKQ393239:FKR393239 FUM393239:FUN393239 GEI393239:GEJ393239 GOE393239:GOF393239 GYA393239:GYB393239 HHW393239:HHX393239 HRS393239:HRT393239 IBO393239:IBP393239 ILK393239:ILL393239 IVG393239:IVH393239 JFC393239:JFD393239 JOY393239:JOZ393239 JYU393239:JYV393239 KIQ393239:KIR393239 KSM393239:KSN393239 LCI393239:LCJ393239 LME393239:LMF393239 LWA393239:LWB393239 MFW393239:MFX393239 MPS393239:MPT393239 MZO393239:MZP393239 NJK393239:NJL393239 NTG393239:NTH393239 ODC393239:ODD393239 OMY393239:OMZ393239 OWU393239:OWV393239 PGQ393239:PGR393239 PQM393239:PQN393239 QAI393239:QAJ393239 QKE393239:QKF393239 QUA393239:QUB393239 RDW393239:RDX393239 RNS393239:RNT393239 RXO393239:RXP393239 SHK393239:SHL393239 SRG393239:SRH393239 TBC393239:TBD393239 TKY393239:TKZ393239 TUU393239:TUV393239 UEQ393239:UER393239 UOM393239:UON393239 UYI393239:UYJ393239 VIE393239:VIF393239 VSA393239:VSB393239 WBW393239:WBX393239 WLS393239:WLT393239 WVO393239:WVP393239 Q458775:R458775 JC458775:JD458775 SY458775:SZ458775 ACU458775:ACV458775 AMQ458775:AMR458775 AWM458775:AWN458775 BGI458775:BGJ458775 BQE458775:BQF458775 CAA458775:CAB458775 CJW458775:CJX458775 CTS458775:CTT458775 DDO458775:DDP458775 DNK458775:DNL458775 DXG458775:DXH458775 EHC458775:EHD458775 EQY458775:EQZ458775 FAU458775:FAV458775 FKQ458775:FKR458775 FUM458775:FUN458775 GEI458775:GEJ458775 GOE458775:GOF458775 GYA458775:GYB458775 HHW458775:HHX458775 HRS458775:HRT458775 IBO458775:IBP458775 ILK458775:ILL458775 IVG458775:IVH458775 JFC458775:JFD458775 JOY458775:JOZ458775 JYU458775:JYV458775 KIQ458775:KIR458775 KSM458775:KSN458775 LCI458775:LCJ458775 LME458775:LMF458775 LWA458775:LWB458775 MFW458775:MFX458775 MPS458775:MPT458775 MZO458775:MZP458775 NJK458775:NJL458775 NTG458775:NTH458775 ODC458775:ODD458775 OMY458775:OMZ458775 OWU458775:OWV458775 PGQ458775:PGR458775 PQM458775:PQN458775 QAI458775:QAJ458775 QKE458775:QKF458775 QUA458775:QUB458775 RDW458775:RDX458775 RNS458775:RNT458775 RXO458775:RXP458775 SHK458775:SHL458775 SRG458775:SRH458775 TBC458775:TBD458775 TKY458775:TKZ458775 TUU458775:TUV458775 UEQ458775:UER458775 UOM458775:UON458775 UYI458775:UYJ458775 VIE458775:VIF458775 VSA458775:VSB458775 WBW458775:WBX458775 WLS458775:WLT458775 WVO458775:WVP458775 Q524311:R524311 JC524311:JD524311 SY524311:SZ524311 ACU524311:ACV524311 AMQ524311:AMR524311 AWM524311:AWN524311 BGI524311:BGJ524311 BQE524311:BQF524311 CAA524311:CAB524311 CJW524311:CJX524311 CTS524311:CTT524311 DDO524311:DDP524311 DNK524311:DNL524311 DXG524311:DXH524311 EHC524311:EHD524311 EQY524311:EQZ524311 FAU524311:FAV524311 FKQ524311:FKR524311 FUM524311:FUN524311 GEI524311:GEJ524311 GOE524311:GOF524311 GYA524311:GYB524311 HHW524311:HHX524311 HRS524311:HRT524311 IBO524311:IBP524311 ILK524311:ILL524311 IVG524311:IVH524311 JFC524311:JFD524311 JOY524311:JOZ524311 JYU524311:JYV524311 KIQ524311:KIR524311 KSM524311:KSN524311 LCI524311:LCJ524311 LME524311:LMF524311 LWA524311:LWB524311 MFW524311:MFX524311 MPS524311:MPT524311 MZO524311:MZP524311 NJK524311:NJL524311 NTG524311:NTH524311 ODC524311:ODD524311 OMY524311:OMZ524311 OWU524311:OWV524311 PGQ524311:PGR524311 PQM524311:PQN524311 QAI524311:QAJ524311 QKE524311:QKF524311 QUA524311:QUB524311 RDW524311:RDX524311 RNS524311:RNT524311 RXO524311:RXP524311 SHK524311:SHL524311 SRG524311:SRH524311 TBC524311:TBD524311 TKY524311:TKZ524311 TUU524311:TUV524311 UEQ524311:UER524311 UOM524311:UON524311 UYI524311:UYJ524311 VIE524311:VIF524311 VSA524311:VSB524311 WBW524311:WBX524311 WLS524311:WLT524311 WVO524311:WVP524311 Q589847:R589847 JC589847:JD589847 SY589847:SZ589847 ACU589847:ACV589847 AMQ589847:AMR589847 AWM589847:AWN589847 BGI589847:BGJ589847 BQE589847:BQF589847 CAA589847:CAB589847 CJW589847:CJX589847 CTS589847:CTT589847 DDO589847:DDP589847 DNK589847:DNL589847 DXG589847:DXH589847 EHC589847:EHD589847 EQY589847:EQZ589847 FAU589847:FAV589847 FKQ589847:FKR589847 FUM589847:FUN589847 GEI589847:GEJ589847 GOE589847:GOF589847 GYA589847:GYB589847 HHW589847:HHX589847 HRS589847:HRT589847 IBO589847:IBP589847 ILK589847:ILL589847 IVG589847:IVH589847 JFC589847:JFD589847 JOY589847:JOZ589847 JYU589847:JYV589847 KIQ589847:KIR589847 KSM589847:KSN589847 LCI589847:LCJ589847 LME589847:LMF589847 LWA589847:LWB589847 MFW589847:MFX589847 MPS589847:MPT589847 MZO589847:MZP589847 NJK589847:NJL589847 NTG589847:NTH589847 ODC589847:ODD589847 OMY589847:OMZ589847 OWU589847:OWV589847 PGQ589847:PGR589847 PQM589847:PQN589847 QAI589847:QAJ589847 QKE589847:QKF589847 QUA589847:QUB589847 RDW589847:RDX589847 RNS589847:RNT589847 RXO589847:RXP589847 SHK589847:SHL589847 SRG589847:SRH589847 TBC589847:TBD589847 TKY589847:TKZ589847 TUU589847:TUV589847 UEQ589847:UER589847 UOM589847:UON589847 UYI589847:UYJ589847 VIE589847:VIF589847 VSA589847:VSB589847 WBW589847:WBX589847 WLS589847:WLT589847 WVO589847:WVP589847 Q655383:R655383 JC655383:JD655383 SY655383:SZ655383 ACU655383:ACV655383 AMQ655383:AMR655383 AWM655383:AWN655383 BGI655383:BGJ655383 BQE655383:BQF655383 CAA655383:CAB655383 CJW655383:CJX655383 CTS655383:CTT655383 DDO655383:DDP655383 DNK655383:DNL655383 DXG655383:DXH655383 EHC655383:EHD655383 EQY655383:EQZ655383 FAU655383:FAV655383 FKQ655383:FKR655383 FUM655383:FUN655383 GEI655383:GEJ655383 GOE655383:GOF655383 GYA655383:GYB655383 HHW655383:HHX655383 HRS655383:HRT655383 IBO655383:IBP655383 ILK655383:ILL655383 IVG655383:IVH655383 JFC655383:JFD655383 JOY655383:JOZ655383 JYU655383:JYV655383 KIQ655383:KIR655383 KSM655383:KSN655383 LCI655383:LCJ655383 LME655383:LMF655383 LWA655383:LWB655383 MFW655383:MFX655383 MPS655383:MPT655383 MZO655383:MZP655383 NJK655383:NJL655383 NTG655383:NTH655383 ODC655383:ODD655383 OMY655383:OMZ655383 OWU655383:OWV655383 PGQ655383:PGR655383 PQM655383:PQN655383 QAI655383:QAJ655383 QKE655383:QKF655383 QUA655383:QUB655383 RDW655383:RDX655383 RNS655383:RNT655383 RXO655383:RXP655383 SHK655383:SHL655383 SRG655383:SRH655383 TBC655383:TBD655383 TKY655383:TKZ655383 TUU655383:TUV655383 UEQ655383:UER655383 UOM655383:UON655383 UYI655383:UYJ655383 VIE655383:VIF655383 VSA655383:VSB655383 WBW655383:WBX655383 WLS655383:WLT655383 WVO655383:WVP655383 Q720919:R720919 JC720919:JD720919 SY720919:SZ720919 ACU720919:ACV720919 AMQ720919:AMR720919 AWM720919:AWN720919 BGI720919:BGJ720919 BQE720919:BQF720919 CAA720919:CAB720919 CJW720919:CJX720919 CTS720919:CTT720919 DDO720919:DDP720919 DNK720919:DNL720919 DXG720919:DXH720919 EHC720919:EHD720919 EQY720919:EQZ720919 FAU720919:FAV720919 FKQ720919:FKR720919 FUM720919:FUN720919 GEI720919:GEJ720919 GOE720919:GOF720919 GYA720919:GYB720919 HHW720919:HHX720919 HRS720919:HRT720919 IBO720919:IBP720919 ILK720919:ILL720919 IVG720919:IVH720919 JFC720919:JFD720919 JOY720919:JOZ720919 JYU720919:JYV720919 KIQ720919:KIR720919 KSM720919:KSN720919 LCI720919:LCJ720919 LME720919:LMF720919 LWA720919:LWB720919 MFW720919:MFX720919 MPS720919:MPT720919 MZO720919:MZP720919 NJK720919:NJL720919 NTG720919:NTH720919 ODC720919:ODD720919 OMY720919:OMZ720919 OWU720919:OWV720919 PGQ720919:PGR720919 PQM720919:PQN720919 QAI720919:QAJ720919 QKE720919:QKF720919 QUA720919:QUB720919 RDW720919:RDX720919 RNS720919:RNT720919 RXO720919:RXP720919 SHK720919:SHL720919 SRG720919:SRH720919 TBC720919:TBD720919 TKY720919:TKZ720919 TUU720919:TUV720919 UEQ720919:UER720919 UOM720919:UON720919 UYI720919:UYJ720919 VIE720919:VIF720919 VSA720919:VSB720919 WBW720919:WBX720919 WLS720919:WLT720919 WVO720919:WVP720919 Q786455:R786455 JC786455:JD786455 SY786455:SZ786455 ACU786455:ACV786455 AMQ786455:AMR786455 AWM786455:AWN786455 BGI786455:BGJ786455 BQE786455:BQF786455 CAA786455:CAB786455 CJW786455:CJX786455 CTS786455:CTT786455 DDO786455:DDP786455 DNK786455:DNL786455 DXG786455:DXH786455 EHC786455:EHD786455 EQY786455:EQZ786455 FAU786455:FAV786455 FKQ786455:FKR786455 FUM786455:FUN786455 GEI786455:GEJ786455 GOE786455:GOF786455 GYA786455:GYB786455 HHW786455:HHX786455 HRS786455:HRT786455 IBO786455:IBP786455 ILK786455:ILL786455 IVG786455:IVH786455 JFC786455:JFD786455 JOY786455:JOZ786455 JYU786455:JYV786455 KIQ786455:KIR786455 KSM786455:KSN786455 LCI786455:LCJ786455 LME786455:LMF786455 LWA786455:LWB786455 MFW786455:MFX786455 MPS786455:MPT786455 MZO786455:MZP786455 NJK786455:NJL786455 NTG786455:NTH786455 ODC786455:ODD786455 OMY786455:OMZ786455 OWU786455:OWV786455 PGQ786455:PGR786455 PQM786455:PQN786455 QAI786455:QAJ786455 QKE786455:QKF786455 QUA786455:QUB786455 RDW786455:RDX786455 RNS786455:RNT786455 RXO786455:RXP786455 SHK786455:SHL786455 SRG786455:SRH786455 TBC786455:TBD786455 TKY786455:TKZ786455 TUU786455:TUV786455 UEQ786455:UER786455 UOM786455:UON786455 UYI786455:UYJ786455 VIE786455:VIF786455 VSA786455:VSB786455 WBW786455:WBX786455 WLS786455:WLT786455 WVO786455:WVP786455 Q851991:R851991 JC851991:JD851991 SY851991:SZ851991 ACU851991:ACV851991 AMQ851991:AMR851991 AWM851991:AWN851991 BGI851991:BGJ851991 BQE851991:BQF851991 CAA851991:CAB851991 CJW851991:CJX851991 CTS851991:CTT851991 DDO851991:DDP851991 DNK851991:DNL851991 DXG851991:DXH851991 EHC851991:EHD851991 EQY851991:EQZ851991 FAU851991:FAV851991 FKQ851991:FKR851991 FUM851991:FUN851991 GEI851991:GEJ851991 GOE851991:GOF851991 GYA851991:GYB851991 HHW851991:HHX851991 HRS851991:HRT851991 IBO851991:IBP851991 ILK851991:ILL851991 IVG851991:IVH851991 JFC851991:JFD851991 JOY851991:JOZ851991 JYU851991:JYV851991 KIQ851991:KIR851991 KSM851991:KSN851991 LCI851991:LCJ851991 LME851991:LMF851991 LWA851991:LWB851991 MFW851991:MFX851991 MPS851991:MPT851991 MZO851991:MZP851991 NJK851991:NJL851991 NTG851991:NTH851991 ODC851991:ODD851991 OMY851991:OMZ851991 OWU851991:OWV851991 PGQ851991:PGR851991 PQM851991:PQN851991 QAI851991:QAJ851991 QKE851991:QKF851991 QUA851991:QUB851991 RDW851991:RDX851991 RNS851991:RNT851991 RXO851991:RXP851991 SHK851991:SHL851991 SRG851991:SRH851991 TBC851991:TBD851991 TKY851991:TKZ851991 TUU851991:TUV851991 UEQ851991:UER851991 UOM851991:UON851991 UYI851991:UYJ851991 VIE851991:VIF851991 VSA851991:VSB851991 WBW851991:WBX851991 WLS851991:WLT851991 WVO851991:WVP851991 Q917527:R917527 JC917527:JD917527 SY917527:SZ917527 ACU917527:ACV917527 AMQ917527:AMR917527 AWM917527:AWN917527 BGI917527:BGJ917527 BQE917527:BQF917527 CAA917527:CAB917527 CJW917527:CJX917527 CTS917527:CTT917527 DDO917527:DDP917527 DNK917527:DNL917527 DXG917527:DXH917527 EHC917527:EHD917527 EQY917527:EQZ917527 FAU917527:FAV917527 FKQ917527:FKR917527 FUM917527:FUN917527 GEI917527:GEJ917527 GOE917527:GOF917527 GYA917527:GYB917527 HHW917527:HHX917527 HRS917527:HRT917527 IBO917527:IBP917527 ILK917527:ILL917527 IVG917527:IVH917527 JFC917527:JFD917527 JOY917527:JOZ917527 JYU917527:JYV917527 KIQ917527:KIR917527 KSM917527:KSN917527 LCI917527:LCJ917527 LME917527:LMF917527 LWA917527:LWB917527 MFW917527:MFX917527 MPS917527:MPT917527 MZO917527:MZP917527 NJK917527:NJL917527 NTG917527:NTH917527 ODC917527:ODD917527 OMY917527:OMZ917527 OWU917527:OWV917527 PGQ917527:PGR917527 PQM917527:PQN917527 QAI917527:QAJ917527 QKE917527:QKF917527 QUA917527:QUB917527 RDW917527:RDX917527 RNS917527:RNT917527 RXO917527:RXP917527 SHK917527:SHL917527 SRG917527:SRH917527 TBC917527:TBD917527 TKY917527:TKZ917527 TUU917527:TUV917527 UEQ917527:UER917527 UOM917527:UON917527 UYI917527:UYJ917527 VIE917527:VIF917527 VSA917527:VSB917527 WBW917527:WBX917527 WLS917527:WLT917527 WVO917527:WVP917527 Q983063:R983063 JC983063:JD983063 SY983063:SZ983063 ACU983063:ACV983063 AMQ983063:AMR983063 AWM983063:AWN983063 BGI983063:BGJ983063 BQE983063:BQF983063 CAA983063:CAB983063 CJW983063:CJX983063 CTS983063:CTT983063 DDO983063:DDP983063 DNK983063:DNL983063 DXG983063:DXH983063 EHC983063:EHD983063 EQY983063:EQZ983063 FAU983063:FAV983063 FKQ983063:FKR983063 FUM983063:FUN983063 GEI983063:GEJ983063 GOE983063:GOF983063 GYA983063:GYB983063 HHW983063:HHX983063 HRS983063:HRT983063 IBO983063:IBP983063 ILK983063:ILL983063 IVG983063:IVH983063 JFC983063:JFD983063 JOY983063:JOZ983063 JYU983063:JYV983063 KIQ983063:KIR983063 KSM983063:KSN983063 LCI983063:LCJ983063 LME983063:LMF983063 LWA983063:LWB983063 MFW983063:MFX983063 MPS983063:MPT983063 MZO983063:MZP983063 NJK983063:NJL983063 NTG983063:NTH983063 ODC983063:ODD983063 OMY983063:OMZ983063 OWU983063:OWV983063 PGQ983063:PGR983063 PQM983063:PQN983063 QAI983063:QAJ983063 QKE983063:QKF983063 QUA983063:QUB983063 RDW983063:RDX983063 RNS983063:RNT983063 RXO983063:RXP983063 SHK983063:SHL983063 SRG983063:SRH983063 TBC983063:TBD983063 TKY983063:TKZ983063 TUU983063:TUV983063 UEQ983063:UER983063 UOM983063:UON983063 UYI983063:UYJ983063 VIE983063:VIF983063 VSA983063:VSB983063 WBW983063:WBX983063 WLS983063:WLT983063 SY23:SZ23">
      <formula1>-9.99999999999999E+23</formula1>
      <formula2>9.99999999999999E+23</formula2>
    </dataValidation>
    <dataValidation allowBlank="1" showInputMessage="1" showErrorMessage="1" prompt="Для выбора выполните двойной щелчок левой клавиши мыши по соответствующей ячейке." sqref="ACX23 AMT23 AWP23 BGL23 BQH23 CAD23 CJZ23 CTV23 DDR23 DNN23 DXJ23 EHF23 ERB23 FAX23 FKT23 FUP23 GEL23 GOH23 GYD23 HHZ23 HRV23 IBR23 ILN23 IVJ23 JFF23 JPB23 JYX23 KIT23 KSP23 LCL23 LMH23 LWD23 MFZ23 MPV23 MZR23 NJN23 NTJ23 ODF23 ONB23 OWX23 PGT23 PQP23 QAL23 QKH23 QUD23 RDZ23 RNV23 RXR23 SHN23 SRJ23 TBF23 TLB23 TUX23 UET23 UOP23 UYL23 VIH23 VSD23 WBZ23 WLV23 WVR23 JH23 TD23 V131095 T65559 JF65559 TB65559 ACX65559 AMT65559 AWP65559 BGL65559 BQH65559 CAD65559 CJZ65559 CTV65559 DDR65559 DNN65559 DXJ65559 EHF65559 ERB65559 FAX65559 FKT65559 FUP65559 GEL65559 GOH65559 GYD65559 HHZ65559 HRV65559 IBR65559 ILN65559 IVJ65559 JFF65559 JPB65559 JYX65559 KIT65559 KSP65559 LCL65559 LMH65559 LWD65559 MFZ65559 MPV65559 MZR65559 NJN65559 NTJ65559 ODF65559 ONB65559 OWX65559 PGT65559 PQP65559 QAL65559 QKH65559 QUD65559 RDZ65559 RNV65559 RXR65559 SHN65559 SRJ65559 TBF65559 TLB65559 TUX65559 UET65559 UOP65559 UYL65559 VIH65559 VSD65559 WBZ65559 WLV65559 WVR65559 T131095 JF131095 TB131095 ACX131095 AMT131095 AWP131095 BGL131095 BQH131095 CAD131095 CJZ131095 CTV131095 DDR131095 DNN131095 DXJ131095 EHF131095 ERB131095 FAX131095 FKT131095 FUP131095 GEL131095 GOH131095 GYD131095 HHZ131095 HRV131095 IBR131095 ILN131095 IVJ131095 JFF131095 JPB131095 JYX131095 KIT131095 KSP131095 LCL131095 LMH131095 LWD131095 MFZ131095 MPV131095 MZR131095 NJN131095 NTJ131095 ODF131095 ONB131095 OWX131095 PGT131095 PQP131095 QAL131095 QKH131095 QUD131095 RDZ131095 RNV131095 RXR131095 SHN131095 SRJ131095 TBF131095 TLB131095 TUX131095 UET131095 UOP131095 UYL131095 VIH131095 VSD131095 WBZ131095 WLV131095 WVR131095 T196631 JF196631 TB196631 ACX196631 AMT196631 AWP196631 BGL196631 BQH196631 CAD196631 CJZ196631 CTV196631 DDR196631 DNN196631 DXJ196631 EHF196631 ERB196631 FAX196631 FKT196631 FUP196631 GEL196631 GOH196631 GYD196631 HHZ196631 HRV196631 IBR196631 ILN196631 IVJ196631 JFF196631 JPB196631 JYX196631 KIT196631 KSP196631 LCL196631 LMH196631 LWD196631 MFZ196631 MPV196631 MZR196631 NJN196631 NTJ196631 ODF196631 ONB196631 OWX196631 PGT196631 PQP196631 QAL196631 QKH196631 QUD196631 RDZ196631 RNV196631 RXR196631 SHN196631 SRJ196631 TBF196631 TLB196631 TUX196631 UET196631 UOP196631 UYL196631 VIH196631 VSD196631 WBZ196631 WLV196631 WVR196631 T262167 JF262167 TB262167 ACX262167 AMT262167 AWP262167 BGL262167 BQH262167 CAD262167 CJZ262167 CTV262167 DDR262167 DNN262167 DXJ262167 EHF262167 ERB262167 FAX262167 FKT262167 FUP262167 GEL262167 GOH262167 GYD262167 HHZ262167 HRV262167 IBR262167 ILN262167 IVJ262167 JFF262167 JPB262167 JYX262167 KIT262167 KSP262167 LCL262167 LMH262167 LWD262167 MFZ262167 MPV262167 MZR262167 NJN262167 NTJ262167 ODF262167 ONB262167 OWX262167 PGT262167 PQP262167 QAL262167 QKH262167 QUD262167 RDZ262167 RNV262167 RXR262167 SHN262167 SRJ262167 TBF262167 TLB262167 TUX262167 UET262167 UOP262167 UYL262167 VIH262167 VSD262167 WBZ262167 WLV262167 WVR262167 T327703 JF327703 TB327703 ACX327703 AMT327703 AWP327703 BGL327703 BQH327703 CAD327703 CJZ327703 CTV327703 DDR327703 DNN327703 DXJ327703 EHF327703 ERB327703 FAX327703 FKT327703 FUP327703 GEL327703 GOH327703 GYD327703 HHZ327703 HRV327703 IBR327703 ILN327703 IVJ327703 JFF327703 JPB327703 JYX327703 KIT327703 KSP327703 LCL327703 LMH327703 LWD327703 MFZ327703 MPV327703 MZR327703 NJN327703 NTJ327703 ODF327703 ONB327703 OWX327703 PGT327703 PQP327703 QAL327703 QKH327703 QUD327703 RDZ327703 RNV327703 RXR327703 SHN327703 SRJ327703 TBF327703 TLB327703 TUX327703 UET327703 UOP327703 UYL327703 VIH327703 VSD327703 WBZ327703 WLV327703 WVR327703 T393239 JF393239 TB393239 ACX393239 AMT393239 AWP393239 BGL393239 BQH393239 CAD393239 CJZ393239 CTV393239 DDR393239 DNN393239 DXJ393239 EHF393239 ERB393239 FAX393239 FKT393239 FUP393239 GEL393239 GOH393239 GYD393239 HHZ393239 HRV393239 IBR393239 ILN393239 IVJ393239 JFF393239 JPB393239 JYX393239 KIT393239 KSP393239 LCL393239 LMH393239 LWD393239 MFZ393239 MPV393239 MZR393239 NJN393239 NTJ393239 ODF393239 ONB393239 OWX393239 PGT393239 PQP393239 QAL393239 QKH393239 QUD393239 RDZ393239 RNV393239 RXR393239 SHN393239 SRJ393239 TBF393239 TLB393239 TUX393239 UET393239 UOP393239 UYL393239 VIH393239 VSD393239 WBZ393239 WLV393239 WVR393239 T458775 JF458775 TB458775 ACX458775 AMT458775 AWP458775 BGL458775 BQH458775 CAD458775 CJZ458775 CTV458775 DDR458775 DNN458775 DXJ458775 EHF458775 ERB458775 FAX458775 FKT458775 FUP458775 GEL458775 GOH458775 GYD458775 HHZ458775 HRV458775 IBR458775 ILN458775 IVJ458775 JFF458775 JPB458775 JYX458775 KIT458775 KSP458775 LCL458775 LMH458775 LWD458775 MFZ458775 MPV458775 MZR458775 NJN458775 NTJ458775 ODF458775 ONB458775 OWX458775 PGT458775 PQP458775 QAL458775 QKH458775 QUD458775 RDZ458775 RNV458775 RXR458775 SHN458775 SRJ458775 TBF458775 TLB458775 TUX458775 UET458775 UOP458775 UYL458775 VIH458775 VSD458775 WBZ458775 WLV458775 WVR458775 T524311 JF524311 TB524311 ACX524311 AMT524311 AWP524311 BGL524311 BQH524311 CAD524311 CJZ524311 CTV524311 DDR524311 DNN524311 DXJ524311 EHF524311 ERB524311 FAX524311 FKT524311 FUP524311 GEL524311 GOH524311 GYD524311 HHZ524311 HRV524311 IBR524311 ILN524311 IVJ524311 JFF524311 JPB524311 JYX524311 KIT524311 KSP524311 LCL524311 LMH524311 LWD524311 MFZ524311 MPV524311 MZR524311 NJN524311 NTJ524311 ODF524311 ONB524311 OWX524311 PGT524311 PQP524311 QAL524311 QKH524311 QUD524311 RDZ524311 RNV524311 RXR524311 SHN524311 SRJ524311 TBF524311 TLB524311 TUX524311 UET524311 UOP524311 UYL524311 VIH524311 VSD524311 WBZ524311 WLV524311 WVR524311 T589847 JF589847 TB589847 ACX589847 AMT589847 AWP589847 BGL589847 BQH589847 CAD589847 CJZ589847 CTV589847 DDR589847 DNN589847 DXJ589847 EHF589847 ERB589847 FAX589847 FKT589847 FUP589847 GEL589847 GOH589847 GYD589847 HHZ589847 HRV589847 IBR589847 ILN589847 IVJ589847 JFF589847 JPB589847 JYX589847 KIT589847 KSP589847 LCL589847 LMH589847 LWD589847 MFZ589847 MPV589847 MZR589847 NJN589847 NTJ589847 ODF589847 ONB589847 OWX589847 PGT589847 PQP589847 QAL589847 QKH589847 QUD589847 RDZ589847 RNV589847 RXR589847 SHN589847 SRJ589847 TBF589847 TLB589847 TUX589847 UET589847 UOP589847 UYL589847 VIH589847 VSD589847 WBZ589847 WLV589847 WVR589847 T655383 JF655383 TB655383 ACX655383 AMT655383 AWP655383 BGL655383 BQH655383 CAD655383 CJZ655383 CTV655383 DDR655383 DNN655383 DXJ655383 EHF655383 ERB655383 FAX655383 FKT655383 FUP655383 GEL655383 GOH655383 GYD655383 HHZ655383 HRV655383 IBR655383 ILN655383 IVJ655383 JFF655383 JPB655383 JYX655383 KIT655383 KSP655383 LCL655383 LMH655383 LWD655383 MFZ655383 MPV655383 MZR655383 NJN655383 NTJ655383 ODF655383 ONB655383 OWX655383 PGT655383 PQP655383 QAL655383 QKH655383 QUD655383 RDZ655383 RNV655383 RXR655383 SHN655383 SRJ655383 TBF655383 TLB655383 TUX655383 UET655383 UOP655383 UYL655383 VIH655383 VSD655383 WBZ655383 WLV655383 WVR655383 T720919 JF720919 TB720919 ACX720919 AMT720919 AWP720919 BGL720919 BQH720919 CAD720919 CJZ720919 CTV720919 DDR720919 DNN720919 DXJ720919 EHF720919 ERB720919 FAX720919 FKT720919 FUP720919 GEL720919 GOH720919 GYD720919 HHZ720919 HRV720919 IBR720919 ILN720919 IVJ720919 JFF720919 JPB720919 JYX720919 KIT720919 KSP720919 LCL720919 LMH720919 LWD720919 MFZ720919 MPV720919 MZR720919 NJN720919 NTJ720919 ODF720919 ONB720919 OWX720919 PGT720919 PQP720919 QAL720919 QKH720919 QUD720919 RDZ720919 RNV720919 RXR720919 SHN720919 SRJ720919 TBF720919 TLB720919 TUX720919 UET720919 UOP720919 UYL720919 VIH720919 VSD720919 WBZ720919 WLV720919 WVR720919 T786455 JF786455 TB786455 ACX786455 AMT786455 AWP786455 BGL786455 BQH786455 CAD786455 CJZ786455 CTV786455 DDR786455 DNN786455 DXJ786455 EHF786455 ERB786455 FAX786455 FKT786455 FUP786455 GEL786455 GOH786455 GYD786455 HHZ786455 HRV786455 IBR786455 ILN786455 IVJ786455 JFF786455 JPB786455 JYX786455 KIT786455 KSP786455 LCL786455 LMH786455 LWD786455 MFZ786455 MPV786455 MZR786455 NJN786455 NTJ786455 ODF786455 ONB786455 OWX786455 PGT786455 PQP786455 QAL786455 QKH786455 QUD786455 RDZ786455 RNV786455 RXR786455 SHN786455 SRJ786455 TBF786455 TLB786455 TUX786455 UET786455 UOP786455 UYL786455 VIH786455 VSD786455 WBZ786455 WLV786455 WVR786455 T851991 JF851991 TB851991 ACX851991 AMT851991 AWP851991 BGL851991 BQH851991 CAD851991 CJZ851991 CTV851991 DDR851991 DNN851991 DXJ851991 EHF851991 ERB851991 FAX851991 FKT851991 FUP851991 GEL851991 GOH851991 GYD851991 HHZ851991 HRV851991 IBR851991 ILN851991 IVJ851991 JFF851991 JPB851991 JYX851991 KIT851991 KSP851991 LCL851991 LMH851991 LWD851991 MFZ851991 MPV851991 MZR851991 NJN851991 NTJ851991 ODF851991 ONB851991 OWX851991 PGT851991 PQP851991 QAL851991 QKH851991 QUD851991 RDZ851991 RNV851991 RXR851991 SHN851991 SRJ851991 TBF851991 TLB851991 TUX851991 UET851991 UOP851991 UYL851991 VIH851991 VSD851991 WBZ851991 WLV851991 WVR851991 T917527 JF917527 TB917527 ACX917527 AMT917527 AWP917527 BGL917527 BQH917527 CAD917527 CJZ917527 CTV917527 DDR917527 DNN917527 DXJ917527 EHF917527 ERB917527 FAX917527 FKT917527 FUP917527 GEL917527 GOH917527 GYD917527 HHZ917527 HRV917527 IBR917527 ILN917527 IVJ917527 JFF917527 JPB917527 JYX917527 KIT917527 KSP917527 LCL917527 LMH917527 LWD917527 MFZ917527 MPV917527 MZR917527 NJN917527 NTJ917527 ODF917527 ONB917527 OWX917527 PGT917527 PQP917527 QAL917527 QKH917527 QUD917527 RDZ917527 RNV917527 RXR917527 SHN917527 SRJ917527 TBF917527 TLB917527 TUX917527 UET917527 UOP917527 UYL917527 VIH917527 VSD917527 WBZ917527 WLV917527 WVR917527 T983063 JF983063 TB983063 ACX983063 AMT983063 AWP983063 BGL983063 BQH983063 CAD983063 CJZ983063 CTV983063 DDR983063 DNN983063 DXJ983063 EHF983063 ERB983063 FAX983063 FKT983063 FUP983063 GEL983063 GOH983063 GYD983063 HHZ983063 HRV983063 IBR983063 ILN983063 IVJ983063 JFF983063 JPB983063 JYX983063 KIT983063 KSP983063 LCL983063 LMH983063 LWD983063 MFZ983063 MPV983063 MZR983063 NJN983063 NTJ983063 ODF983063 ONB983063 OWX983063 PGT983063 PQP983063 QAL983063 QKH983063 QUD983063 RDZ983063 RNV983063 RXR983063 SHN983063 SRJ983063 TBF983063 TLB983063 TUX983063 UET983063 UOP983063 UYL983063 VIH983063 VSD983063 WBZ983063 WLV983063 WVR983063 ACZ23 AMV23 AWR23 BGN23 BQJ23 CAF23 CKB23 CTX23 DDT23 DNP23 DXL23 EHH23 ERD23 FAZ23 FKV23 FUR23 GEN23 GOJ23 GYF23 HIB23 HRX23 IBT23 ILP23 IVL23 JFH23 JPD23 JYZ23 KIV23 KSR23 LCN23 LMJ23 LWF23 MGB23 MPX23 MZT23 NJP23 NTL23 ODH23 OND23 OWZ23 PGV23 PQR23 QAN23 QKJ23 QUF23 REB23 RNX23 RXT23 SHP23 SRL23 TBH23 TLD23 TUZ23 UEV23 UOR23 UYN23 VIJ23 VSF23 WCB23 WLX23 WVT23 T23 V196631 JF23 V262167 JH65559 TD65559 ACZ65559 AMV65559 AWR65559 BGN65559 BQJ65559 CAF65559 CKB65559 CTX65559 DDT65559 DNP65559 DXL65559 EHH65559 ERD65559 FAZ65559 FKV65559 FUR65559 GEN65559 GOJ65559 GYF65559 HIB65559 HRX65559 IBT65559 ILP65559 IVL65559 JFH65559 JPD65559 JYZ65559 KIV65559 KSR65559 LCN65559 LMJ65559 LWF65559 MGB65559 MPX65559 MZT65559 NJP65559 NTL65559 ODH65559 OND65559 OWZ65559 PGV65559 PQR65559 QAN65559 QKJ65559 QUF65559 REB65559 RNX65559 RXT65559 SHP65559 SRL65559 TBH65559 TLD65559 TUZ65559 UEV65559 UOR65559 UYN65559 VIJ65559 VSF65559 WCB65559 WLX65559 WVT65559 V327703 JH131095 TD131095 ACZ131095 AMV131095 AWR131095 BGN131095 BQJ131095 CAF131095 CKB131095 CTX131095 DDT131095 DNP131095 DXL131095 EHH131095 ERD131095 FAZ131095 FKV131095 FUR131095 GEN131095 GOJ131095 GYF131095 HIB131095 HRX131095 IBT131095 ILP131095 IVL131095 JFH131095 JPD131095 JYZ131095 KIV131095 KSR131095 LCN131095 LMJ131095 LWF131095 MGB131095 MPX131095 MZT131095 NJP131095 NTL131095 ODH131095 OND131095 OWZ131095 PGV131095 PQR131095 QAN131095 QKJ131095 QUF131095 REB131095 RNX131095 RXT131095 SHP131095 SRL131095 TBH131095 TLD131095 TUZ131095 UEV131095 UOR131095 UYN131095 VIJ131095 VSF131095 WCB131095 WLX131095 WVT131095 V393239 JH196631 TD196631 ACZ196631 AMV196631 AWR196631 BGN196631 BQJ196631 CAF196631 CKB196631 CTX196631 DDT196631 DNP196631 DXL196631 EHH196631 ERD196631 FAZ196631 FKV196631 FUR196631 GEN196631 GOJ196631 GYF196631 HIB196631 HRX196631 IBT196631 ILP196631 IVL196631 JFH196631 JPD196631 JYZ196631 KIV196631 KSR196631 LCN196631 LMJ196631 LWF196631 MGB196631 MPX196631 MZT196631 NJP196631 NTL196631 ODH196631 OND196631 OWZ196631 PGV196631 PQR196631 QAN196631 QKJ196631 QUF196631 REB196631 RNX196631 RXT196631 SHP196631 SRL196631 TBH196631 TLD196631 TUZ196631 UEV196631 UOR196631 UYN196631 VIJ196631 VSF196631 WCB196631 WLX196631 WVT196631 V458775 JH262167 TD262167 ACZ262167 AMV262167 AWR262167 BGN262167 BQJ262167 CAF262167 CKB262167 CTX262167 DDT262167 DNP262167 DXL262167 EHH262167 ERD262167 FAZ262167 FKV262167 FUR262167 GEN262167 GOJ262167 GYF262167 HIB262167 HRX262167 IBT262167 ILP262167 IVL262167 JFH262167 JPD262167 JYZ262167 KIV262167 KSR262167 LCN262167 LMJ262167 LWF262167 MGB262167 MPX262167 MZT262167 NJP262167 NTL262167 ODH262167 OND262167 OWZ262167 PGV262167 PQR262167 QAN262167 QKJ262167 QUF262167 REB262167 RNX262167 RXT262167 SHP262167 SRL262167 TBH262167 TLD262167 TUZ262167 UEV262167 UOR262167 UYN262167 VIJ262167 VSF262167 WCB262167 WLX262167 WVT262167 V524311 JH327703 TD327703 ACZ327703 AMV327703 AWR327703 BGN327703 BQJ327703 CAF327703 CKB327703 CTX327703 DDT327703 DNP327703 DXL327703 EHH327703 ERD327703 FAZ327703 FKV327703 FUR327703 GEN327703 GOJ327703 GYF327703 HIB327703 HRX327703 IBT327703 ILP327703 IVL327703 JFH327703 JPD327703 JYZ327703 KIV327703 KSR327703 LCN327703 LMJ327703 LWF327703 MGB327703 MPX327703 MZT327703 NJP327703 NTL327703 ODH327703 OND327703 OWZ327703 PGV327703 PQR327703 QAN327703 QKJ327703 QUF327703 REB327703 RNX327703 RXT327703 SHP327703 SRL327703 TBH327703 TLD327703 TUZ327703 UEV327703 UOR327703 UYN327703 VIJ327703 VSF327703 WCB327703 WLX327703 WVT327703 V851991 JH393239 TD393239 ACZ393239 AMV393239 AWR393239 BGN393239 BQJ393239 CAF393239 CKB393239 CTX393239 DDT393239 DNP393239 DXL393239 EHH393239 ERD393239 FAZ393239 FKV393239 FUR393239 GEN393239 GOJ393239 GYF393239 HIB393239 HRX393239 IBT393239 ILP393239 IVL393239 JFH393239 JPD393239 JYZ393239 KIV393239 KSR393239 LCN393239 LMJ393239 LWF393239 MGB393239 MPX393239 MZT393239 NJP393239 NTL393239 ODH393239 OND393239 OWZ393239 PGV393239 PQR393239 QAN393239 QKJ393239 QUF393239 REB393239 RNX393239 RXT393239 SHP393239 SRL393239 TBH393239 TLD393239 TUZ393239 UEV393239 UOR393239 UYN393239 VIJ393239 VSF393239 WCB393239 WLX393239 WVT393239 V589847 JH458775 TD458775 ACZ458775 AMV458775 AWR458775 BGN458775 BQJ458775 CAF458775 CKB458775 CTX458775 DDT458775 DNP458775 DXL458775 EHH458775 ERD458775 FAZ458775 FKV458775 FUR458775 GEN458775 GOJ458775 GYF458775 HIB458775 HRX458775 IBT458775 ILP458775 IVL458775 JFH458775 JPD458775 JYZ458775 KIV458775 KSR458775 LCN458775 LMJ458775 LWF458775 MGB458775 MPX458775 MZT458775 NJP458775 NTL458775 ODH458775 OND458775 OWZ458775 PGV458775 PQR458775 QAN458775 QKJ458775 QUF458775 REB458775 RNX458775 RXT458775 SHP458775 SRL458775 TBH458775 TLD458775 TUZ458775 UEV458775 UOR458775 UYN458775 VIJ458775 VSF458775 WCB458775 WLX458775 WVT458775 V655383 JH524311 TD524311 ACZ524311 AMV524311 AWR524311 BGN524311 BQJ524311 CAF524311 CKB524311 CTX524311 DDT524311 DNP524311 DXL524311 EHH524311 ERD524311 FAZ524311 FKV524311 FUR524311 GEN524311 GOJ524311 GYF524311 HIB524311 HRX524311 IBT524311 ILP524311 IVL524311 JFH524311 JPD524311 JYZ524311 KIV524311 KSR524311 LCN524311 LMJ524311 LWF524311 MGB524311 MPX524311 MZT524311 NJP524311 NTL524311 ODH524311 OND524311 OWZ524311 PGV524311 PQR524311 QAN524311 QKJ524311 QUF524311 REB524311 RNX524311 RXT524311 SHP524311 SRL524311 TBH524311 TLD524311 TUZ524311 UEV524311 UOR524311 UYN524311 VIJ524311 VSF524311 WCB524311 WLX524311 WVT524311 V720919 JH589847 TD589847 ACZ589847 AMV589847 AWR589847 BGN589847 BQJ589847 CAF589847 CKB589847 CTX589847 DDT589847 DNP589847 DXL589847 EHH589847 ERD589847 FAZ589847 FKV589847 FUR589847 GEN589847 GOJ589847 GYF589847 HIB589847 HRX589847 IBT589847 ILP589847 IVL589847 JFH589847 JPD589847 JYZ589847 KIV589847 KSR589847 LCN589847 LMJ589847 LWF589847 MGB589847 MPX589847 MZT589847 NJP589847 NTL589847 ODH589847 OND589847 OWZ589847 PGV589847 PQR589847 QAN589847 QKJ589847 QUF589847 REB589847 RNX589847 RXT589847 SHP589847 SRL589847 TBH589847 TLD589847 TUZ589847 UEV589847 UOR589847 UYN589847 VIJ589847 VSF589847 WCB589847 WLX589847 WVT589847 V786455 JH655383 TD655383 ACZ655383 AMV655383 AWR655383 BGN655383 BQJ655383 CAF655383 CKB655383 CTX655383 DDT655383 DNP655383 DXL655383 EHH655383 ERD655383 FAZ655383 FKV655383 FUR655383 GEN655383 GOJ655383 GYF655383 HIB655383 HRX655383 IBT655383 ILP655383 IVL655383 JFH655383 JPD655383 JYZ655383 KIV655383 KSR655383 LCN655383 LMJ655383 LWF655383 MGB655383 MPX655383 MZT655383 NJP655383 NTL655383 ODH655383 OND655383 OWZ655383 PGV655383 PQR655383 QAN655383 QKJ655383 QUF655383 REB655383 RNX655383 RXT655383 SHP655383 SRL655383 TBH655383 TLD655383 TUZ655383 UEV655383 UOR655383 UYN655383 VIJ655383 VSF655383 WCB655383 WLX655383 WVT655383 V917527 JH720919 TD720919 ACZ720919 AMV720919 AWR720919 BGN720919 BQJ720919 CAF720919 CKB720919 CTX720919 DDT720919 DNP720919 DXL720919 EHH720919 ERD720919 FAZ720919 FKV720919 FUR720919 GEN720919 GOJ720919 GYF720919 HIB720919 HRX720919 IBT720919 ILP720919 IVL720919 JFH720919 JPD720919 JYZ720919 KIV720919 KSR720919 LCN720919 LMJ720919 LWF720919 MGB720919 MPX720919 MZT720919 NJP720919 NTL720919 ODH720919 OND720919 OWZ720919 PGV720919 PQR720919 QAN720919 QKJ720919 QUF720919 REB720919 RNX720919 RXT720919 SHP720919 SRL720919 TBH720919 TLD720919 TUZ720919 UEV720919 UOR720919 UYN720919 VIJ720919 VSF720919 WCB720919 WLX720919 WVT720919 V23 JH786455 TD786455 ACZ786455 AMV786455 AWR786455 BGN786455 BQJ786455 CAF786455 CKB786455 CTX786455 DDT786455 DNP786455 DXL786455 EHH786455 ERD786455 FAZ786455 FKV786455 FUR786455 GEN786455 GOJ786455 GYF786455 HIB786455 HRX786455 IBT786455 ILP786455 IVL786455 JFH786455 JPD786455 JYZ786455 KIV786455 KSR786455 LCN786455 LMJ786455 LWF786455 MGB786455 MPX786455 MZT786455 NJP786455 NTL786455 ODH786455 OND786455 OWZ786455 PGV786455 PQR786455 QAN786455 QKJ786455 QUF786455 REB786455 RNX786455 RXT786455 SHP786455 SRL786455 TBH786455 TLD786455 TUZ786455 UEV786455 UOR786455 UYN786455 VIJ786455 VSF786455 WCB786455 WLX786455 WVT786455 V983063 JH851991 TD851991 ACZ851991 AMV851991 AWR851991 BGN851991 BQJ851991 CAF851991 CKB851991 CTX851991 DDT851991 DNP851991 DXL851991 EHH851991 ERD851991 FAZ851991 FKV851991 FUR851991 GEN851991 GOJ851991 GYF851991 HIB851991 HRX851991 IBT851991 ILP851991 IVL851991 JFH851991 JPD851991 JYZ851991 KIV851991 KSR851991 LCN851991 LMJ851991 LWF851991 MGB851991 MPX851991 MZT851991 NJP851991 NTL851991 ODH851991 OND851991 OWZ851991 PGV851991 PQR851991 QAN851991 QKJ851991 QUF851991 REB851991 RNX851991 RXT851991 SHP851991 SRL851991 TBH851991 TLD851991 TUZ851991 UEV851991 UOR851991 UYN851991 VIJ851991 VSF851991 WCB851991 WLX851991 WVT851991 JH917527 TD917527 ACZ917527 AMV917527 AWR917527 BGN917527 BQJ917527 CAF917527 CKB917527 CTX917527 DDT917527 DNP917527 DXL917527 EHH917527 ERD917527 FAZ917527 FKV917527 FUR917527 GEN917527 GOJ917527 GYF917527 HIB917527 HRX917527 IBT917527 ILP917527 IVL917527 JFH917527 JPD917527 JYZ917527 KIV917527 KSR917527 LCN917527 LMJ917527 LWF917527 MGB917527 MPX917527 MZT917527 NJP917527 NTL917527 ODH917527 OND917527 OWZ917527 PGV917527 PQR917527 QAN917527 QKJ917527 QUF917527 REB917527 RNX917527 RXT917527 SHP917527 SRL917527 TBH917527 TLD917527 TUZ917527 UEV917527 UOR917527 UYN917527 VIJ917527 VSF917527 WCB917527 WLX917527 WVT917527 WVT983063 JH983063 TD983063 ACZ983063 AMV983063 AWR983063 BGN983063 BQJ983063 CAF983063 CKB983063 CTX983063 DDT983063 DNP983063 DXL983063 EHH983063 ERD983063 FAZ983063 FKV983063 FUR983063 GEN983063 GOJ983063 GYF983063 HIB983063 HRX983063 IBT983063 ILP983063 IVL983063 JFH983063 JPD983063 JYZ983063 KIV983063 KSR983063 LCN983063 LMJ983063 LWF983063 MGB983063 MPX983063 MZT983063 NJP983063 NTL983063 ODH983063 OND983063 OWZ983063 PGV983063 PQR983063 QAN983063 QKJ983063 QUF983063 REB983063 RNX983063 RXT983063 SHP983063 SRL983063 TBH983063 TLD983063 TUZ983063 UEV983063 UOR983063 UYN983063 VIJ983063 VSF983063 WCB983063 WLX983063 TB23 V65559"/>
    <dataValidation allowBlank="1" promptTitle="checkPeriodRange" sqref="R24 JD24 SZ24 ACV24 AMR24 AWN24 BGJ24 BQF24 CAB24 CJX24 CTT24 DDP24 DNL24 DXH24 EHD24 EQZ24 FAV24 FKR24 FUN24 GEJ24 GOF24 GYB24 HHX24 HRT24 IBP24 ILL24 IVH24 JFD24 JOZ24 JYV24 KIR24 KSN24 LCJ24 LMF24 LWB24 MFX24 MPT24 MZP24 NJL24 NTH24 ODD24 OMZ24 OWV24 PGR24 PQN24 QAJ24 QKF24 QUB24 RDX24 RNT24 RXP24 SHL24 SRH24 TBD24 TKZ24 TUV24 UER24 UON24 UYJ24 VIF24 VSB24 WBX24 WLT24 WVP24 R65560 JD65560 SZ65560 ACV65560 AMR65560 AWN65560 BGJ65560 BQF65560 CAB65560 CJX65560 CTT65560 DDP65560 DNL65560 DXH65560 EHD65560 EQZ65560 FAV65560 FKR65560 FUN65560 GEJ65560 GOF65560 GYB65560 HHX65560 HRT65560 IBP65560 ILL65560 IVH65560 JFD65560 JOZ65560 JYV65560 KIR65560 KSN65560 LCJ65560 LMF65560 LWB65560 MFX65560 MPT65560 MZP65560 NJL65560 NTH65560 ODD65560 OMZ65560 OWV65560 PGR65560 PQN65560 QAJ65560 QKF65560 QUB65560 RDX65560 RNT65560 RXP65560 SHL65560 SRH65560 TBD65560 TKZ65560 TUV65560 UER65560 UON65560 UYJ65560 VIF65560 VSB65560 WBX65560 WLT65560 WVP65560 R131096 JD131096 SZ131096 ACV131096 AMR131096 AWN131096 BGJ131096 BQF131096 CAB131096 CJX131096 CTT131096 DDP131096 DNL131096 DXH131096 EHD131096 EQZ131096 FAV131096 FKR131096 FUN131096 GEJ131096 GOF131096 GYB131096 HHX131096 HRT131096 IBP131096 ILL131096 IVH131096 JFD131096 JOZ131096 JYV131096 KIR131096 KSN131096 LCJ131096 LMF131096 LWB131096 MFX131096 MPT131096 MZP131096 NJL131096 NTH131096 ODD131096 OMZ131096 OWV131096 PGR131096 PQN131096 QAJ131096 QKF131096 QUB131096 RDX131096 RNT131096 RXP131096 SHL131096 SRH131096 TBD131096 TKZ131096 TUV131096 UER131096 UON131096 UYJ131096 VIF131096 VSB131096 WBX131096 WLT131096 WVP131096 R196632 JD196632 SZ196632 ACV196632 AMR196632 AWN196632 BGJ196632 BQF196632 CAB196632 CJX196632 CTT196632 DDP196632 DNL196632 DXH196632 EHD196632 EQZ196632 FAV196632 FKR196632 FUN196632 GEJ196632 GOF196632 GYB196632 HHX196632 HRT196632 IBP196632 ILL196632 IVH196632 JFD196632 JOZ196632 JYV196632 KIR196632 KSN196632 LCJ196632 LMF196632 LWB196632 MFX196632 MPT196632 MZP196632 NJL196632 NTH196632 ODD196632 OMZ196632 OWV196632 PGR196632 PQN196632 QAJ196632 QKF196632 QUB196632 RDX196632 RNT196632 RXP196632 SHL196632 SRH196632 TBD196632 TKZ196632 TUV196632 UER196632 UON196632 UYJ196632 VIF196632 VSB196632 WBX196632 WLT196632 WVP196632 R262168 JD262168 SZ262168 ACV262168 AMR262168 AWN262168 BGJ262168 BQF262168 CAB262168 CJX262168 CTT262168 DDP262168 DNL262168 DXH262168 EHD262168 EQZ262168 FAV262168 FKR262168 FUN262168 GEJ262168 GOF262168 GYB262168 HHX262168 HRT262168 IBP262168 ILL262168 IVH262168 JFD262168 JOZ262168 JYV262168 KIR262168 KSN262168 LCJ262168 LMF262168 LWB262168 MFX262168 MPT262168 MZP262168 NJL262168 NTH262168 ODD262168 OMZ262168 OWV262168 PGR262168 PQN262168 QAJ262168 QKF262168 QUB262168 RDX262168 RNT262168 RXP262168 SHL262168 SRH262168 TBD262168 TKZ262168 TUV262168 UER262168 UON262168 UYJ262168 VIF262168 VSB262168 WBX262168 WLT262168 WVP262168 R327704 JD327704 SZ327704 ACV327704 AMR327704 AWN327704 BGJ327704 BQF327704 CAB327704 CJX327704 CTT327704 DDP327704 DNL327704 DXH327704 EHD327704 EQZ327704 FAV327704 FKR327704 FUN327704 GEJ327704 GOF327704 GYB327704 HHX327704 HRT327704 IBP327704 ILL327704 IVH327704 JFD327704 JOZ327704 JYV327704 KIR327704 KSN327704 LCJ327704 LMF327704 LWB327704 MFX327704 MPT327704 MZP327704 NJL327704 NTH327704 ODD327704 OMZ327704 OWV327704 PGR327704 PQN327704 QAJ327704 QKF327704 QUB327704 RDX327704 RNT327704 RXP327704 SHL327704 SRH327704 TBD327704 TKZ327704 TUV327704 UER327704 UON327704 UYJ327704 VIF327704 VSB327704 WBX327704 WLT327704 WVP327704 R393240 JD393240 SZ393240 ACV393240 AMR393240 AWN393240 BGJ393240 BQF393240 CAB393240 CJX393240 CTT393240 DDP393240 DNL393240 DXH393240 EHD393240 EQZ393240 FAV393240 FKR393240 FUN393240 GEJ393240 GOF393240 GYB393240 HHX393240 HRT393240 IBP393240 ILL393240 IVH393240 JFD393240 JOZ393240 JYV393240 KIR393240 KSN393240 LCJ393240 LMF393240 LWB393240 MFX393240 MPT393240 MZP393240 NJL393240 NTH393240 ODD393240 OMZ393240 OWV393240 PGR393240 PQN393240 QAJ393240 QKF393240 QUB393240 RDX393240 RNT393240 RXP393240 SHL393240 SRH393240 TBD393240 TKZ393240 TUV393240 UER393240 UON393240 UYJ393240 VIF393240 VSB393240 WBX393240 WLT393240 WVP393240 R458776 JD458776 SZ458776 ACV458776 AMR458776 AWN458776 BGJ458776 BQF458776 CAB458776 CJX458776 CTT458776 DDP458776 DNL458776 DXH458776 EHD458776 EQZ458776 FAV458776 FKR458776 FUN458776 GEJ458776 GOF458776 GYB458776 HHX458776 HRT458776 IBP458776 ILL458776 IVH458776 JFD458776 JOZ458776 JYV458776 KIR458776 KSN458776 LCJ458776 LMF458776 LWB458776 MFX458776 MPT458776 MZP458776 NJL458776 NTH458776 ODD458776 OMZ458776 OWV458776 PGR458776 PQN458776 QAJ458776 QKF458776 QUB458776 RDX458776 RNT458776 RXP458776 SHL458776 SRH458776 TBD458776 TKZ458776 TUV458776 UER458776 UON458776 UYJ458776 VIF458776 VSB458776 WBX458776 WLT458776 WVP458776 R524312 JD524312 SZ524312 ACV524312 AMR524312 AWN524312 BGJ524312 BQF524312 CAB524312 CJX524312 CTT524312 DDP524312 DNL524312 DXH524312 EHD524312 EQZ524312 FAV524312 FKR524312 FUN524312 GEJ524312 GOF524312 GYB524312 HHX524312 HRT524312 IBP524312 ILL524312 IVH524312 JFD524312 JOZ524312 JYV524312 KIR524312 KSN524312 LCJ524312 LMF524312 LWB524312 MFX524312 MPT524312 MZP524312 NJL524312 NTH524312 ODD524312 OMZ524312 OWV524312 PGR524312 PQN524312 QAJ524312 QKF524312 QUB524312 RDX524312 RNT524312 RXP524312 SHL524312 SRH524312 TBD524312 TKZ524312 TUV524312 UER524312 UON524312 UYJ524312 VIF524312 VSB524312 WBX524312 WLT524312 WVP524312 R589848 JD589848 SZ589848 ACV589848 AMR589848 AWN589848 BGJ589848 BQF589848 CAB589848 CJX589848 CTT589848 DDP589848 DNL589848 DXH589848 EHD589848 EQZ589848 FAV589848 FKR589848 FUN589848 GEJ589848 GOF589848 GYB589848 HHX589848 HRT589848 IBP589848 ILL589848 IVH589848 JFD589848 JOZ589848 JYV589848 KIR589848 KSN589848 LCJ589848 LMF589848 LWB589848 MFX589848 MPT589848 MZP589848 NJL589848 NTH589848 ODD589848 OMZ589848 OWV589848 PGR589848 PQN589848 QAJ589848 QKF589848 QUB589848 RDX589848 RNT589848 RXP589848 SHL589848 SRH589848 TBD589848 TKZ589848 TUV589848 UER589848 UON589848 UYJ589848 VIF589848 VSB589848 WBX589848 WLT589848 WVP589848 R655384 JD655384 SZ655384 ACV655384 AMR655384 AWN655384 BGJ655384 BQF655384 CAB655384 CJX655384 CTT655384 DDP655384 DNL655384 DXH655384 EHD655384 EQZ655384 FAV655384 FKR655384 FUN655384 GEJ655384 GOF655384 GYB655384 HHX655384 HRT655384 IBP655384 ILL655384 IVH655384 JFD655384 JOZ655384 JYV655384 KIR655384 KSN655384 LCJ655384 LMF655384 LWB655384 MFX655384 MPT655384 MZP655384 NJL655384 NTH655384 ODD655384 OMZ655384 OWV655384 PGR655384 PQN655384 QAJ655384 QKF655384 QUB655384 RDX655384 RNT655384 RXP655384 SHL655384 SRH655384 TBD655384 TKZ655384 TUV655384 UER655384 UON655384 UYJ655384 VIF655384 VSB655384 WBX655384 WLT655384 WVP655384 R720920 JD720920 SZ720920 ACV720920 AMR720920 AWN720920 BGJ720920 BQF720920 CAB720920 CJX720920 CTT720920 DDP720920 DNL720920 DXH720920 EHD720920 EQZ720920 FAV720920 FKR720920 FUN720920 GEJ720920 GOF720920 GYB720920 HHX720920 HRT720920 IBP720920 ILL720920 IVH720920 JFD720920 JOZ720920 JYV720920 KIR720920 KSN720920 LCJ720920 LMF720920 LWB720920 MFX720920 MPT720920 MZP720920 NJL720920 NTH720920 ODD720920 OMZ720920 OWV720920 PGR720920 PQN720920 QAJ720920 QKF720920 QUB720920 RDX720920 RNT720920 RXP720920 SHL720920 SRH720920 TBD720920 TKZ720920 TUV720920 UER720920 UON720920 UYJ720920 VIF720920 VSB720920 WBX720920 WLT720920 WVP720920 R786456 JD786456 SZ786456 ACV786456 AMR786456 AWN786456 BGJ786456 BQF786456 CAB786456 CJX786456 CTT786456 DDP786456 DNL786456 DXH786456 EHD786456 EQZ786456 FAV786456 FKR786456 FUN786456 GEJ786456 GOF786456 GYB786456 HHX786456 HRT786456 IBP786456 ILL786456 IVH786456 JFD786456 JOZ786456 JYV786456 KIR786456 KSN786456 LCJ786456 LMF786456 LWB786456 MFX786456 MPT786456 MZP786456 NJL786456 NTH786456 ODD786456 OMZ786456 OWV786456 PGR786456 PQN786456 QAJ786456 QKF786456 QUB786456 RDX786456 RNT786456 RXP786456 SHL786456 SRH786456 TBD786456 TKZ786456 TUV786456 UER786456 UON786456 UYJ786456 VIF786456 VSB786456 WBX786456 WLT786456 WVP786456 R851992 JD851992 SZ851992 ACV851992 AMR851992 AWN851992 BGJ851992 BQF851992 CAB851992 CJX851992 CTT851992 DDP851992 DNL851992 DXH851992 EHD851992 EQZ851992 FAV851992 FKR851992 FUN851992 GEJ851992 GOF851992 GYB851992 HHX851992 HRT851992 IBP851992 ILL851992 IVH851992 JFD851992 JOZ851992 JYV851992 KIR851992 KSN851992 LCJ851992 LMF851992 LWB851992 MFX851992 MPT851992 MZP851992 NJL851992 NTH851992 ODD851992 OMZ851992 OWV851992 PGR851992 PQN851992 QAJ851992 QKF851992 QUB851992 RDX851992 RNT851992 RXP851992 SHL851992 SRH851992 TBD851992 TKZ851992 TUV851992 UER851992 UON851992 UYJ851992 VIF851992 VSB851992 WBX851992 WLT851992 WVP851992 R917528 JD917528 SZ917528 ACV917528 AMR917528 AWN917528 BGJ917528 BQF917528 CAB917528 CJX917528 CTT917528 DDP917528 DNL917528 DXH917528 EHD917528 EQZ917528 FAV917528 FKR917528 FUN917528 GEJ917528 GOF917528 GYB917528 HHX917528 HRT917528 IBP917528 ILL917528 IVH917528 JFD917528 JOZ917528 JYV917528 KIR917528 KSN917528 LCJ917528 LMF917528 LWB917528 MFX917528 MPT917528 MZP917528 NJL917528 NTH917528 ODD917528 OMZ917528 OWV917528 PGR917528 PQN917528 QAJ917528 QKF917528 QUB917528 RDX917528 RNT917528 RXP917528 SHL917528 SRH917528 TBD917528 TKZ917528 TUV917528 UER917528 UON917528 UYJ917528 VIF917528 VSB917528 WBX917528 WLT917528 WVP917528 R983064 JD983064 SZ983064 ACV983064 AMR983064 AWN983064 BGJ983064 BQF983064 CAB983064 CJX983064 CTT983064 DDP983064 DNL983064 DXH983064 EHD983064 EQZ983064 FAV983064 FKR983064 FUN983064 GEJ983064 GOF983064 GYB983064 HHX983064 HRT983064 IBP983064 ILL983064 IVH983064 JFD983064 JOZ983064 JYV983064 KIR983064 KSN983064 LCJ983064 LMF983064 LWB983064 MFX983064 MPT983064 MZP983064 NJL983064 NTH983064 ODD983064 OMZ983064 OWV983064 PGR983064 PQN983064 QAJ983064 QKF983064 QUB983064 RDX983064 RNT983064 RXP983064 SHL983064 SRH983064 TBD983064 TKZ983064 TUV983064 UER983064 UON983064 UYJ983064 VIF983064 VSB983064 WBX983064 WLT983064 WVP983064"/>
    <dataValidation type="textLength" operator="lessThanOrEqual" allowBlank="1" showInputMessage="1" showErrorMessage="1" errorTitle="Ошибка" error="Допускается ввод не более 900 символов!" sqref="ACS23 AMO23 AWK23 BGG23 BQC23 BZY23 CJU23 CTQ23 DDM23 DNI23 DXE23 EHA23 EQW23 FAS23 FKO23 FUK23 GEG23 GOC23 GXY23 HHU23 HRQ23 IBM23 ILI23 IVE23 JFA23 JOW23 JYS23 KIO23 KSK23 LCG23 LMC23 LVY23 MFU23 MPQ23 MZM23 NJI23 NTE23 ODA23 OMW23 OWS23 PGO23 PQK23 QAG23 QKC23 QTY23 RDU23 RNQ23 RXM23 SHI23 SRE23 TBA23 TKW23 TUS23 UEO23 UOK23 UYG23 VIC23 VRY23 WBU23 WLQ23 WVM23 O23 O65559 JA65559 SW65559 ACS65559 AMO65559 AWK65559 BGG65559 BQC65559 BZY65559 CJU65559 CTQ65559 DDM65559 DNI65559 DXE65559 EHA65559 EQW65559 FAS65559 FKO65559 FUK65559 GEG65559 GOC65559 GXY65559 HHU65559 HRQ65559 IBM65559 ILI65559 IVE65559 JFA65559 JOW65559 JYS65559 KIO65559 KSK65559 LCG65559 LMC65559 LVY65559 MFU65559 MPQ65559 MZM65559 NJI65559 NTE65559 ODA65559 OMW65559 OWS65559 PGO65559 PQK65559 QAG65559 QKC65559 QTY65559 RDU65559 RNQ65559 RXM65559 SHI65559 SRE65559 TBA65559 TKW65559 TUS65559 UEO65559 UOK65559 UYG65559 VIC65559 VRY65559 WBU65559 WLQ65559 WVM65559 O131095 JA131095 SW131095 ACS131095 AMO131095 AWK131095 BGG131095 BQC131095 BZY131095 CJU131095 CTQ131095 DDM131095 DNI131095 DXE131095 EHA131095 EQW131095 FAS131095 FKO131095 FUK131095 GEG131095 GOC131095 GXY131095 HHU131095 HRQ131095 IBM131095 ILI131095 IVE131095 JFA131095 JOW131095 JYS131095 KIO131095 KSK131095 LCG131095 LMC131095 LVY131095 MFU131095 MPQ131095 MZM131095 NJI131095 NTE131095 ODA131095 OMW131095 OWS131095 PGO131095 PQK131095 QAG131095 QKC131095 QTY131095 RDU131095 RNQ131095 RXM131095 SHI131095 SRE131095 TBA131095 TKW131095 TUS131095 UEO131095 UOK131095 UYG131095 VIC131095 VRY131095 WBU131095 WLQ131095 WVM131095 O196631 JA196631 SW196631 ACS196631 AMO196631 AWK196631 BGG196631 BQC196631 BZY196631 CJU196631 CTQ196631 DDM196631 DNI196631 DXE196631 EHA196631 EQW196631 FAS196631 FKO196631 FUK196631 GEG196631 GOC196631 GXY196631 HHU196631 HRQ196631 IBM196631 ILI196631 IVE196631 JFA196631 JOW196631 JYS196631 KIO196631 KSK196631 LCG196631 LMC196631 LVY196631 MFU196631 MPQ196631 MZM196631 NJI196631 NTE196631 ODA196631 OMW196631 OWS196631 PGO196631 PQK196631 QAG196631 QKC196631 QTY196631 RDU196631 RNQ196631 RXM196631 SHI196631 SRE196631 TBA196631 TKW196631 TUS196631 UEO196631 UOK196631 UYG196631 VIC196631 VRY196631 WBU196631 WLQ196631 WVM196631 O262167 JA262167 SW262167 ACS262167 AMO262167 AWK262167 BGG262167 BQC262167 BZY262167 CJU262167 CTQ262167 DDM262167 DNI262167 DXE262167 EHA262167 EQW262167 FAS262167 FKO262167 FUK262167 GEG262167 GOC262167 GXY262167 HHU262167 HRQ262167 IBM262167 ILI262167 IVE262167 JFA262167 JOW262167 JYS262167 KIO262167 KSK262167 LCG262167 LMC262167 LVY262167 MFU262167 MPQ262167 MZM262167 NJI262167 NTE262167 ODA262167 OMW262167 OWS262167 PGO262167 PQK262167 QAG262167 QKC262167 QTY262167 RDU262167 RNQ262167 RXM262167 SHI262167 SRE262167 TBA262167 TKW262167 TUS262167 UEO262167 UOK262167 UYG262167 VIC262167 VRY262167 WBU262167 WLQ262167 WVM262167 O327703 JA327703 SW327703 ACS327703 AMO327703 AWK327703 BGG327703 BQC327703 BZY327703 CJU327703 CTQ327703 DDM327703 DNI327703 DXE327703 EHA327703 EQW327703 FAS327703 FKO327703 FUK327703 GEG327703 GOC327703 GXY327703 HHU327703 HRQ327703 IBM327703 ILI327703 IVE327703 JFA327703 JOW327703 JYS327703 KIO327703 KSK327703 LCG327703 LMC327703 LVY327703 MFU327703 MPQ327703 MZM327703 NJI327703 NTE327703 ODA327703 OMW327703 OWS327703 PGO327703 PQK327703 QAG327703 QKC327703 QTY327703 RDU327703 RNQ327703 RXM327703 SHI327703 SRE327703 TBA327703 TKW327703 TUS327703 UEO327703 UOK327703 UYG327703 VIC327703 VRY327703 WBU327703 WLQ327703 WVM327703 O393239 JA393239 SW393239 ACS393239 AMO393239 AWK393239 BGG393239 BQC393239 BZY393239 CJU393239 CTQ393239 DDM393239 DNI393239 DXE393239 EHA393239 EQW393239 FAS393239 FKO393239 FUK393239 GEG393239 GOC393239 GXY393239 HHU393239 HRQ393239 IBM393239 ILI393239 IVE393239 JFA393239 JOW393239 JYS393239 KIO393239 KSK393239 LCG393239 LMC393239 LVY393239 MFU393239 MPQ393239 MZM393239 NJI393239 NTE393239 ODA393239 OMW393239 OWS393239 PGO393239 PQK393239 QAG393239 QKC393239 QTY393239 RDU393239 RNQ393239 RXM393239 SHI393239 SRE393239 TBA393239 TKW393239 TUS393239 UEO393239 UOK393239 UYG393239 VIC393239 VRY393239 WBU393239 WLQ393239 WVM393239 O458775 JA458775 SW458775 ACS458775 AMO458775 AWK458775 BGG458775 BQC458775 BZY458775 CJU458775 CTQ458775 DDM458775 DNI458775 DXE458775 EHA458775 EQW458775 FAS458775 FKO458775 FUK458775 GEG458775 GOC458775 GXY458775 HHU458775 HRQ458775 IBM458775 ILI458775 IVE458775 JFA458775 JOW458775 JYS458775 KIO458775 KSK458775 LCG458775 LMC458775 LVY458775 MFU458775 MPQ458775 MZM458775 NJI458775 NTE458775 ODA458775 OMW458775 OWS458775 PGO458775 PQK458775 QAG458775 QKC458775 QTY458775 RDU458775 RNQ458775 RXM458775 SHI458775 SRE458775 TBA458775 TKW458775 TUS458775 UEO458775 UOK458775 UYG458775 VIC458775 VRY458775 WBU458775 WLQ458775 WVM458775 O524311 JA524311 SW524311 ACS524311 AMO524311 AWK524311 BGG524311 BQC524311 BZY524311 CJU524311 CTQ524311 DDM524311 DNI524311 DXE524311 EHA524311 EQW524311 FAS524311 FKO524311 FUK524311 GEG524311 GOC524311 GXY524311 HHU524311 HRQ524311 IBM524311 ILI524311 IVE524311 JFA524311 JOW524311 JYS524311 KIO524311 KSK524311 LCG524311 LMC524311 LVY524311 MFU524311 MPQ524311 MZM524311 NJI524311 NTE524311 ODA524311 OMW524311 OWS524311 PGO524311 PQK524311 QAG524311 QKC524311 QTY524311 RDU524311 RNQ524311 RXM524311 SHI524311 SRE524311 TBA524311 TKW524311 TUS524311 UEO524311 UOK524311 UYG524311 VIC524311 VRY524311 WBU524311 WLQ524311 WVM524311 O589847 JA589847 SW589847 ACS589847 AMO589847 AWK589847 BGG589847 BQC589847 BZY589847 CJU589847 CTQ589847 DDM589847 DNI589847 DXE589847 EHA589847 EQW589847 FAS589847 FKO589847 FUK589847 GEG589847 GOC589847 GXY589847 HHU589847 HRQ589847 IBM589847 ILI589847 IVE589847 JFA589847 JOW589847 JYS589847 KIO589847 KSK589847 LCG589847 LMC589847 LVY589847 MFU589847 MPQ589847 MZM589847 NJI589847 NTE589847 ODA589847 OMW589847 OWS589847 PGO589847 PQK589847 QAG589847 QKC589847 QTY589847 RDU589847 RNQ589847 RXM589847 SHI589847 SRE589847 TBA589847 TKW589847 TUS589847 UEO589847 UOK589847 UYG589847 VIC589847 VRY589847 WBU589847 WLQ589847 WVM589847 O655383 JA655383 SW655383 ACS655383 AMO655383 AWK655383 BGG655383 BQC655383 BZY655383 CJU655383 CTQ655383 DDM655383 DNI655383 DXE655383 EHA655383 EQW655383 FAS655383 FKO655383 FUK655383 GEG655383 GOC655383 GXY655383 HHU655383 HRQ655383 IBM655383 ILI655383 IVE655383 JFA655383 JOW655383 JYS655383 KIO655383 KSK655383 LCG655383 LMC655383 LVY655383 MFU655383 MPQ655383 MZM655383 NJI655383 NTE655383 ODA655383 OMW655383 OWS655383 PGO655383 PQK655383 QAG655383 QKC655383 QTY655383 RDU655383 RNQ655383 RXM655383 SHI655383 SRE655383 TBA655383 TKW655383 TUS655383 UEO655383 UOK655383 UYG655383 VIC655383 VRY655383 WBU655383 WLQ655383 WVM655383 O720919 JA720919 SW720919 ACS720919 AMO720919 AWK720919 BGG720919 BQC720919 BZY720919 CJU720919 CTQ720919 DDM720919 DNI720919 DXE720919 EHA720919 EQW720919 FAS720919 FKO720919 FUK720919 GEG720919 GOC720919 GXY720919 HHU720919 HRQ720919 IBM720919 ILI720919 IVE720919 JFA720919 JOW720919 JYS720919 KIO720919 KSK720919 LCG720919 LMC720919 LVY720919 MFU720919 MPQ720919 MZM720919 NJI720919 NTE720919 ODA720919 OMW720919 OWS720919 PGO720919 PQK720919 QAG720919 QKC720919 QTY720919 RDU720919 RNQ720919 RXM720919 SHI720919 SRE720919 TBA720919 TKW720919 TUS720919 UEO720919 UOK720919 UYG720919 VIC720919 VRY720919 WBU720919 WLQ720919 WVM720919 O786455 JA786455 SW786455 ACS786455 AMO786455 AWK786455 BGG786455 BQC786455 BZY786455 CJU786455 CTQ786455 DDM786455 DNI786455 DXE786455 EHA786455 EQW786455 FAS786455 FKO786455 FUK786455 GEG786455 GOC786455 GXY786455 HHU786455 HRQ786455 IBM786455 ILI786455 IVE786455 JFA786455 JOW786455 JYS786455 KIO786455 KSK786455 LCG786455 LMC786455 LVY786455 MFU786455 MPQ786455 MZM786455 NJI786455 NTE786455 ODA786455 OMW786455 OWS786455 PGO786455 PQK786455 QAG786455 QKC786455 QTY786455 RDU786455 RNQ786455 RXM786455 SHI786455 SRE786455 TBA786455 TKW786455 TUS786455 UEO786455 UOK786455 UYG786455 VIC786455 VRY786455 WBU786455 WLQ786455 WVM786455 O851991 JA851991 SW851991 ACS851991 AMO851991 AWK851991 BGG851991 BQC851991 BZY851991 CJU851991 CTQ851991 DDM851991 DNI851991 DXE851991 EHA851991 EQW851991 FAS851991 FKO851991 FUK851991 GEG851991 GOC851991 GXY851991 HHU851991 HRQ851991 IBM851991 ILI851991 IVE851991 JFA851991 JOW851991 JYS851991 KIO851991 KSK851991 LCG851991 LMC851991 LVY851991 MFU851991 MPQ851991 MZM851991 NJI851991 NTE851991 ODA851991 OMW851991 OWS851991 PGO851991 PQK851991 QAG851991 QKC851991 QTY851991 RDU851991 RNQ851991 RXM851991 SHI851991 SRE851991 TBA851991 TKW851991 TUS851991 UEO851991 UOK851991 UYG851991 VIC851991 VRY851991 WBU851991 WLQ851991 WVM851991 O917527 JA917527 SW917527 ACS917527 AMO917527 AWK917527 BGG917527 BQC917527 BZY917527 CJU917527 CTQ917527 DDM917527 DNI917527 DXE917527 EHA917527 EQW917527 FAS917527 FKO917527 FUK917527 GEG917527 GOC917527 GXY917527 HHU917527 HRQ917527 IBM917527 ILI917527 IVE917527 JFA917527 JOW917527 JYS917527 KIO917527 KSK917527 LCG917527 LMC917527 LVY917527 MFU917527 MPQ917527 MZM917527 NJI917527 NTE917527 ODA917527 OMW917527 OWS917527 PGO917527 PQK917527 QAG917527 QKC917527 QTY917527 RDU917527 RNQ917527 RXM917527 SHI917527 SRE917527 TBA917527 TKW917527 TUS917527 UEO917527 UOK917527 UYG917527 VIC917527 VRY917527 WBU917527 WLQ917527 WVM917527 O983063 JA983063 SW983063 ACS983063 AMO983063 AWK983063 BGG983063 BQC983063 BZY983063 CJU983063 CTQ983063 DDM983063 DNI983063 DXE983063 EHA983063 EQW983063 FAS983063 FKO983063 FUK983063 GEG983063 GOC983063 GXY983063 HHU983063 HRQ983063 IBM983063 ILI983063 IVE983063 JFA983063 JOW983063 JYS983063 KIO983063 KSK983063 LCG983063 LMC983063 LVY983063 MFU983063 MPQ983063 MZM983063 NJI983063 NTE983063 ODA983063 OMW983063 OWS983063 PGO983063 PQK983063 QAG983063 QKC983063 QTY983063 RDU983063 RNQ983063 RXM983063 SHI983063 SRE983063 TBA983063 TKW983063 TUS983063 UEO983063 UOK983063 UYG983063 VIC983063 VRY983063 WBU983063 WLQ983063 WVM983063 WVV983059:WVV983064 JA23 X65555:X65560 JJ65555:JJ65560 TF65555:TF65560 ADB65555:ADB65560 AMX65555:AMX65560 AWT65555:AWT65560 BGP65555:BGP65560 BQL65555:BQL65560 CAH65555:CAH65560 CKD65555:CKD65560 CTZ65555:CTZ65560 DDV65555:DDV65560 DNR65555:DNR65560 DXN65555:DXN65560 EHJ65555:EHJ65560 ERF65555:ERF65560 FBB65555:FBB65560 FKX65555:FKX65560 FUT65555:FUT65560 GEP65555:GEP65560 GOL65555:GOL65560 GYH65555:GYH65560 HID65555:HID65560 HRZ65555:HRZ65560 IBV65555:IBV65560 ILR65555:ILR65560 IVN65555:IVN65560 JFJ65555:JFJ65560 JPF65555:JPF65560 JZB65555:JZB65560 KIX65555:KIX65560 KST65555:KST65560 LCP65555:LCP65560 LML65555:LML65560 LWH65555:LWH65560 MGD65555:MGD65560 MPZ65555:MPZ65560 MZV65555:MZV65560 NJR65555:NJR65560 NTN65555:NTN65560 ODJ65555:ODJ65560 ONF65555:ONF65560 OXB65555:OXB65560 PGX65555:PGX65560 PQT65555:PQT65560 QAP65555:QAP65560 QKL65555:QKL65560 QUH65555:QUH65560 RED65555:RED65560 RNZ65555:RNZ65560 RXV65555:RXV65560 SHR65555:SHR65560 SRN65555:SRN65560 TBJ65555:TBJ65560 TLF65555:TLF65560 TVB65555:TVB65560 UEX65555:UEX65560 UOT65555:UOT65560 UYP65555:UYP65560 VIL65555:VIL65560 VSH65555:VSH65560 WCD65555:WCD65560 WLZ65555:WLZ65560 WVV65555:WVV65560 X131091:X131096 JJ131091:JJ131096 TF131091:TF131096 ADB131091:ADB131096 AMX131091:AMX131096 AWT131091:AWT131096 BGP131091:BGP131096 BQL131091:BQL131096 CAH131091:CAH131096 CKD131091:CKD131096 CTZ131091:CTZ131096 DDV131091:DDV131096 DNR131091:DNR131096 DXN131091:DXN131096 EHJ131091:EHJ131096 ERF131091:ERF131096 FBB131091:FBB131096 FKX131091:FKX131096 FUT131091:FUT131096 GEP131091:GEP131096 GOL131091:GOL131096 GYH131091:GYH131096 HID131091:HID131096 HRZ131091:HRZ131096 IBV131091:IBV131096 ILR131091:ILR131096 IVN131091:IVN131096 JFJ131091:JFJ131096 JPF131091:JPF131096 JZB131091:JZB131096 KIX131091:KIX131096 KST131091:KST131096 LCP131091:LCP131096 LML131091:LML131096 LWH131091:LWH131096 MGD131091:MGD131096 MPZ131091:MPZ131096 MZV131091:MZV131096 NJR131091:NJR131096 NTN131091:NTN131096 ODJ131091:ODJ131096 ONF131091:ONF131096 OXB131091:OXB131096 PGX131091:PGX131096 PQT131091:PQT131096 QAP131091:QAP131096 QKL131091:QKL131096 QUH131091:QUH131096 RED131091:RED131096 RNZ131091:RNZ131096 RXV131091:RXV131096 SHR131091:SHR131096 SRN131091:SRN131096 TBJ131091:TBJ131096 TLF131091:TLF131096 TVB131091:TVB131096 UEX131091:UEX131096 UOT131091:UOT131096 UYP131091:UYP131096 VIL131091:VIL131096 VSH131091:VSH131096 WCD131091:WCD131096 WLZ131091:WLZ131096 WVV131091:WVV131096 X196627:X196632 JJ196627:JJ196632 TF196627:TF196632 ADB196627:ADB196632 AMX196627:AMX196632 AWT196627:AWT196632 BGP196627:BGP196632 BQL196627:BQL196632 CAH196627:CAH196632 CKD196627:CKD196632 CTZ196627:CTZ196632 DDV196627:DDV196632 DNR196627:DNR196632 DXN196627:DXN196632 EHJ196627:EHJ196632 ERF196627:ERF196632 FBB196627:FBB196632 FKX196627:FKX196632 FUT196627:FUT196632 GEP196627:GEP196632 GOL196627:GOL196632 GYH196627:GYH196632 HID196627:HID196632 HRZ196627:HRZ196632 IBV196627:IBV196632 ILR196627:ILR196632 IVN196627:IVN196632 JFJ196627:JFJ196632 JPF196627:JPF196632 JZB196627:JZB196632 KIX196627:KIX196632 KST196627:KST196632 LCP196627:LCP196632 LML196627:LML196632 LWH196627:LWH196632 MGD196627:MGD196632 MPZ196627:MPZ196632 MZV196627:MZV196632 NJR196627:NJR196632 NTN196627:NTN196632 ODJ196627:ODJ196632 ONF196627:ONF196632 OXB196627:OXB196632 PGX196627:PGX196632 PQT196627:PQT196632 QAP196627:QAP196632 QKL196627:QKL196632 QUH196627:QUH196632 RED196627:RED196632 RNZ196627:RNZ196632 RXV196627:RXV196632 SHR196627:SHR196632 SRN196627:SRN196632 TBJ196627:TBJ196632 TLF196627:TLF196632 TVB196627:TVB196632 UEX196627:UEX196632 UOT196627:UOT196632 UYP196627:UYP196632 VIL196627:VIL196632 VSH196627:VSH196632 WCD196627:WCD196632 WLZ196627:WLZ196632 WVV196627:WVV196632 X262163:X262168 JJ262163:JJ262168 TF262163:TF262168 ADB262163:ADB262168 AMX262163:AMX262168 AWT262163:AWT262168 BGP262163:BGP262168 BQL262163:BQL262168 CAH262163:CAH262168 CKD262163:CKD262168 CTZ262163:CTZ262168 DDV262163:DDV262168 DNR262163:DNR262168 DXN262163:DXN262168 EHJ262163:EHJ262168 ERF262163:ERF262168 FBB262163:FBB262168 FKX262163:FKX262168 FUT262163:FUT262168 GEP262163:GEP262168 GOL262163:GOL262168 GYH262163:GYH262168 HID262163:HID262168 HRZ262163:HRZ262168 IBV262163:IBV262168 ILR262163:ILR262168 IVN262163:IVN262168 JFJ262163:JFJ262168 JPF262163:JPF262168 JZB262163:JZB262168 KIX262163:KIX262168 KST262163:KST262168 LCP262163:LCP262168 LML262163:LML262168 LWH262163:LWH262168 MGD262163:MGD262168 MPZ262163:MPZ262168 MZV262163:MZV262168 NJR262163:NJR262168 NTN262163:NTN262168 ODJ262163:ODJ262168 ONF262163:ONF262168 OXB262163:OXB262168 PGX262163:PGX262168 PQT262163:PQT262168 QAP262163:QAP262168 QKL262163:QKL262168 QUH262163:QUH262168 RED262163:RED262168 RNZ262163:RNZ262168 RXV262163:RXV262168 SHR262163:SHR262168 SRN262163:SRN262168 TBJ262163:TBJ262168 TLF262163:TLF262168 TVB262163:TVB262168 UEX262163:UEX262168 UOT262163:UOT262168 UYP262163:UYP262168 VIL262163:VIL262168 VSH262163:VSH262168 WCD262163:WCD262168 WLZ262163:WLZ262168 WVV262163:WVV262168 X327699:X327704 JJ327699:JJ327704 TF327699:TF327704 ADB327699:ADB327704 AMX327699:AMX327704 AWT327699:AWT327704 BGP327699:BGP327704 BQL327699:BQL327704 CAH327699:CAH327704 CKD327699:CKD327704 CTZ327699:CTZ327704 DDV327699:DDV327704 DNR327699:DNR327704 DXN327699:DXN327704 EHJ327699:EHJ327704 ERF327699:ERF327704 FBB327699:FBB327704 FKX327699:FKX327704 FUT327699:FUT327704 GEP327699:GEP327704 GOL327699:GOL327704 GYH327699:GYH327704 HID327699:HID327704 HRZ327699:HRZ327704 IBV327699:IBV327704 ILR327699:ILR327704 IVN327699:IVN327704 JFJ327699:JFJ327704 JPF327699:JPF327704 JZB327699:JZB327704 KIX327699:KIX327704 KST327699:KST327704 LCP327699:LCP327704 LML327699:LML327704 LWH327699:LWH327704 MGD327699:MGD327704 MPZ327699:MPZ327704 MZV327699:MZV327704 NJR327699:NJR327704 NTN327699:NTN327704 ODJ327699:ODJ327704 ONF327699:ONF327704 OXB327699:OXB327704 PGX327699:PGX327704 PQT327699:PQT327704 QAP327699:QAP327704 QKL327699:QKL327704 QUH327699:QUH327704 RED327699:RED327704 RNZ327699:RNZ327704 RXV327699:RXV327704 SHR327699:SHR327704 SRN327699:SRN327704 TBJ327699:TBJ327704 TLF327699:TLF327704 TVB327699:TVB327704 UEX327699:UEX327704 UOT327699:UOT327704 UYP327699:UYP327704 VIL327699:VIL327704 VSH327699:VSH327704 WCD327699:WCD327704 WLZ327699:WLZ327704 WVV327699:WVV327704 X393235:X393240 JJ393235:JJ393240 TF393235:TF393240 ADB393235:ADB393240 AMX393235:AMX393240 AWT393235:AWT393240 BGP393235:BGP393240 BQL393235:BQL393240 CAH393235:CAH393240 CKD393235:CKD393240 CTZ393235:CTZ393240 DDV393235:DDV393240 DNR393235:DNR393240 DXN393235:DXN393240 EHJ393235:EHJ393240 ERF393235:ERF393240 FBB393235:FBB393240 FKX393235:FKX393240 FUT393235:FUT393240 GEP393235:GEP393240 GOL393235:GOL393240 GYH393235:GYH393240 HID393235:HID393240 HRZ393235:HRZ393240 IBV393235:IBV393240 ILR393235:ILR393240 IVN393235:IVN393240 JFJ393235:JFJ393240 JPF393235:JPF393240 JZB393235:JZB393240 KIX393235:KIX393240 KST393235:KST393240 LCP393235:LCP393240 LML393235:LML393240 LWH393235:LWH393240 MGD393235:MGD393240 MPZ393235:MPZ393240 MZV393235:MZV393240 NJR393235:NJR393240 NTN393235:NTN393240 ODJ393235:ODJ393240 ONF393235:ONF393240 OXB393235:OXB393240 PGX393235:PGX393240 PQT393235:PQT393240 QAP393235:QAP393240 QKL393235:QKL393240 QUH393235:QUH393240 RED393235:RED393240 RNZ393235:RNZ393240 RXV393235:RXV393240 SHR393235:SHR393240 SRN393235:SRN393240 TBJ393235:TBJ393240 TLF393235:TLF393240 TVB393235:TVB393240 UEX393235:UEX393240 UOT393235:UOT393240 UYP393235:UYP393240 VIL393235:VIL393240 VSH393235:VSH393240 WCD393235:WCD393240 WLZ393235:WLZ393240 WVV393235:WVV393240 X458771:X458776 JJ458771:JJ458776 TF458771:TF458776 ADB458771:ADB458776 AMX458771:AMX458776 AWT458771:AWT458776 BGP458771:BGP458776 BQL458771:BQL458776 CAH458771:CAH458776 CKD458771:CKD458776 CTZ458771:CTZ458776 DDV458771:DDV458776 DNR458771:DNR458776 DXN458771:DXN458776 EHJ458771:EHJ458776 ERF458771:ERF458776 FBB458771:FBB458776 FKX458771:FKX458776 FUT458771:FUT458776 GEP458771:GEP458776 GOL458771:GOL458776 GYH458771:GYH458776 HID458771:HID458776 HRZ458771:HRZ458776 IBV458771:IBV458776 ILR458771:ILR458776 IVN458771:IVN458776 JFJ458771:JFJ458776 JPF458771:JPF458776 JZB458771:JZB458776 KIX458771:KIX458776 KST458771:KST458776 LCP458771:LCP458776 LML458771:LML458776 LWH458771:LWH458776 MGD458771:MGD458776 MPZ458771:MPZ458776 MZV458771:MZV458776 NJR458771:NJR458776 NTN458771:NTN458776 ODJ458771:ODJ458776 ONF458771:ONF458776 OXB458771:OXB458776 PGX458771:PGX458776 PQT458771:PQT458776 QAP458771:QAP458776 QKL458771:QKL458776 QUH458771:QUH458776 RED458771:RED458776 RNZ458771:RNZ458776 RXV458771:RXV458776 SHR458771:SHR458776 SRN458771:SRN458776 TBJ458771:TBJ458776 TLF458771:TLF458776 TVB458771:TVB458776 UEX458771:UEX458776 UOT458771:UOT458776 UYP458771:UYP458776 VIL458771:VIL458776 VSH458771:VSH458776 WCD458771:WCD458776 WLZ458771:WLZ458776 WVV458771:WVV458776 X524307:X524312 JJ524307:JJ524312 TF524307:TF524312 ADB524307:ADB524312 AMX524307:AMX524312 AWT524307:AWT524312 BGP524307:BGP524312 BQL524307:BQL524312 CAH524307:CAH524312 CKD524307:CKD524312 CTZ524307:CTZ524312 DDV524307:DDV524312 DNR524307:DNR524312 DXN524307:DXN524312 EHJ524307:EHJ524312 ERF524307:ERF524312 FBB524307:FBB524312 FKX524307:FKX524312 FUT524307:FUT524312 GEP524307:GEP524312 GOL524307:GOL524312 GYH524307:GYH524312 HID524307:HID524312 HRZ524307:HRZ524312 IBV524307:IBV524312 ILR524307:ILR524312 IVN524307:IVN524312 JFJ524307:JFJ524312 JPF524307:JPF524312 JZB524307:JZB524312 KIX524307:KIX524312 KST524307:KST524312 LCP524307:LCP524312 LML524307:LML524312 LWH524307:LWH524312 MGD524307:MGD524312 MPZ524307:MPZ524312 MZV524307:MZV524312 NJR524307:NJR524312 NTN524307:NTN524312 ODJ524307:ODJ524312 ONF524307:ONF524312 OXB524307:OXB524312 PGX524307:PGX524312 PQT524307:PQT524312 QAP524307:QAP524312 QKL524307:QKL524312 QUH524307:QUH524312 RED524307:RED524312 RNZ524307:RNZ524312 RXV524307:RXV524312 SHR524307:SHR524312 SRN524307:SRN524312 TBJ524307:TBJ524312 TLF524307:TLF524312 TVB524307:TVB524312 UEX524307:UEX524312 UOT524307:UOT524312 UYP524307:UYP524312 VIL524307:VIL524312 VSH524307:VSH524312 WCD524307:WCD524312 WLZ524307:WLZ524312 WVV524307:WVV524312 X589843:X589848 JJ589843:JJ589848 TF589843:TF589848 ADB589843:ADB589848 AMX589843:AMX589848 AWT589843:AWT589848 BGP589843:BGP589848 BQL589843:BQL589848 CAH589843:CAH589848 CKD589843:CKD589848 CTZ589843:CTZ589848 DDV589843:DDV589848 DNR589843:DNR589848 DXN589843:DXN589848 EHJ589843:EHJ589848 ERF589843:ERF589848 FBB589843:FBB589848 FKX589843:FKX589848 FUT589843:FUT589848 GEP589843:GEP589848 GOL589843:GOL589848 GYH589843:GYH589848 HID589843:HID589848 HRZ589843:HRZ589848 IBV589843:IBV589848 ILR589843:ILR589848 IVN589843:IVN589848 JFJ589843:JFJ589848 JPF589843:JPF589848 JZB589843:JZB589848 KIX589843:KIX589848 KST589843:KST589848 LCP589843:LCP589848 LML589843:LML589848 LWH589843:LWH589848 MGD589843:MGD589848 MPZ589843:MPZ589848 MZV589843:MZV589848 NJR589843:NJR589848 NTN589843:NTN589848 ODJ589843:ODJ589848 ONF589843:ONF589848 OXB589843:OXB589848 PGX589843:PGX589848 PQT589843:PQT589848 QAP589843:QAP589848 QKL589843:QKL589848 QUH589843:QUH589848 RED589843:RED589848 RNZ589843:RNZ589848 RXV589843:RXV589848 SHR589843:SHR589848 SRN589843:SRN589848 TBJ589843:TBJ589848 TLF589843:TLF589848 TVB589843:TVB589848 UEX589843:UEX589848 UOT589843:UOT589848 UYP589843:UYP589848 VIL589843:VIL589848 VSH589843:VSH589848 WCD589843:WCD589848 WLZ589843:WLZ589848 WVV589843:WVV589848 X655379:X655384 JJ655379:JJ655384 TF655379:TF655384 ADB655379:ADB655384 AMX655379:AMX655384 AWT655379:AWT655384 BGP655379:BGP655384 BQL655379:BQL655384 CAH655379:CAH655384 CKD655379:CKD655384 CTZ655379:CTZ655384 DDV655379:DDV655384 DNR655379:DNR655384 DXN655379:DXN655384 EHJ655379:EHJ655384 ERF655379:ERF655384 FBB655379:FBB655384 FKX655379:FKX655384 FUT655379:FUT655384 GEP655379:GEP655384 GOL655379:GOL655384 GYH655379:GYH655384 HID655379:HID655384 HRZ655379:HRZ655384 IBV655379:IBV655384 ILR655379:ILR655384 IVN655379:IVN655384 JFJ655379:JFJ655384 JPF655379:JPF655384 JZB655379:JZB655384 KIX655379:KIX655384 KST655379:KST655384 LCP655379:LCP655384 LML655379:LML655384 LWH655379:LWH655384 MGD655379:MGD655384 MPZ655379:MPZ655384 MZV655379:MZV655384 NJR655379:NJR655384 NTN655379:NTN655384 ODJ655379:ODJ655384 ONF655379:ONF655384 OXB655379:OXB655384 PGX655379:PGX655384 PQT655379:PQT655384 QAP655379:QAP655384 QKL655379:QKL655384 QUH655379:QUH655384 RED655379:RED655384 RNZ655379:RNZ655384 RXV655379:RXV655384 SHR655379:SHR655384 SRN655379:SRN655384 TBJ655379:TBJ655384 TLF655379:TLF655384 TVB655379:TVB655384 UEX655379:UEX655384 UOT655379:UOT655384 UYP655379:UYP655384 VIL655379:VIL655384 VSH655379:VSH655384 WCD655379:WCD655384 WLZ655379:WLZ655384 WVV655379:WVV655384 X720915:X720920 JJ720915:JJ720920 TF720915:TF720920 ADB720915:ADB720920 AMX720915:AMX720920 AWT720915:AWT720920 BGP720915:BGP720920 BQL720915:BQL720920 CAH720915:CAH720920 CKD720915:CKD720920 CTZ720915:CTZ720920 DDV720915:DDV720920 DNR720915:DNR720920 DXN720915:DXN720920 EHJ720915:EHJ720920 ERF720915:ERF720920 FBB720915:FBB720920 FKX720915:FKX720920 FUT720915:FUT720920 GEP720915:GEP720920 GOL720915:GOL720920 GYH720915:GYH720920 HID720915:HID720920 HRZ720915:HRZ720920 IBV720915:IBV720920 ILR720915:ILR720920 IVN720915:IVN720920 JFJ720915:JFJ720920 JPF720915:JPF720920 JZB720915:JZB720920 KIX720915:KIX720920 KST720915:KST720920 LCP720915:LCP720920 LML720915:LML720920 LWH720915:LWH720920 MGD720915:MGD720920 MPZ720915:MPZ720920 MZV720915:MZV720920 NJR720915:NJR720920 NTN720915:NTN720920 ODJ720915:ODJ720920 ONF720915:ONF720920 OXB720915:OXB720920 PGX720915:PGX720920 PQT720915:PQT720920 QAP720915:QAP720920 QKL720915:QKL720920 QUH720915:QUH720920 RED720915:RED720920 RNZ720915:RNZ720920 RXV720915:RXV720920 SHR720915:SHR720920 SRN720915:SRN720920 TBJ720915:TBJ720920 TLF720915:TLF720920 TVB720915:TVB720920 UEX720915:UEX720920 UOT720915:UOT720920 UYP720915:UYP720920 VIL720915:VIL720920 VSH720915:VSH720920 WCD720915:WCD720920 WLZ720915:WLZ720920 WVV720915:WVV720920 X786451:X786456 JJ786451:JJ786456 TF786451:TF786456 ADB786451:ADB786456 AMX786451:AMX786456 AWT786451:AWT786456 BGP786451:BGP786456 BQL786451:BQL786456 CAH786451:CAH786456 CKD786451:CKD786456 CTZ786451:CTZ786456 DDV786451:DDV786456 DNR786451:DNR786456 DXN786451:DXN786456 EHJ786451:EHJ786456 ERF786451:ERF786456 FBB786451:FBB786456 FKX786451:FKX786456 FUT786451:FUT786456 GEP786451:GEP786456 GOL786451:GOL786456 GYH786451:GYH786456 HID786451:HID786456 HRZ786451:HRZ786456 IBV786451:IBV786456 ILR786451:ILR786456 IVN786451:IVN786456 JFJ786451:JFJ786456 JPF786451:JPF786456 JZB786451:JZB786456 KIX786451:KIX786456 KST786451:KST786456 LCP786451:LCP786456 LML786451:LML786456 LWH786451:LWH786456 MGD786451:MGD786456 MPZ786451:MPZ786456 MZV786451:MZV786456 NJR786451:NJR786456 NTN786451:NTN786456 ODJ786451:ODJ786456 ONF786451:ONF786456 OXB786451:OXB786456 PGX786451:PGX786456 PQT786451:PQT786456 QAP786451:QAP786456 QKL786451:QKL786456 QUH786451:QUH786456 RED786451:RED786456 RNZ786451:RNZ786456 RXV786451:RXV786456 SHR786451:SHR786456 SRN786451:SRN786456 TBJ786451:TBJ786456 TLF786451:TLF786456 TVB786451:TVB786456 UEX786451:UEX786456 UOT786451:UOT786456 UYP786451:UYP786456 VIL786451:VIL786456 VSH786451:VSH786456 WCD786451:WCD786456 WLZ786451:WLZ786456 WVV786451:WVV786456 X851987:X851992 JJ851987:JJ851992 TF851987:TF851992 ADB851987:ADB851992 AMX851987:AMX851992 AWT851987:AWT851992 BGP851987:BGP851992 BQL851987:BQL851992 CAH851987:CAH851992 CKD851987:CKD851992 CTZ851987:CTZ851992 DDV851987:DDV851992 DNR851987:DNR851992 DXN851987:DXN851992 EHJ851987:EHJ851992 ERF851987:ERF851992 FBB851987:FBB851992 FKX851987:FKX851992 FUT851987:FUT851992 GEP851987:GEP851992 GOL851987:GOL851992 GYH851987:GYH851992 HID851987:HID851992 HRZ851987:HRZ851992 IBV851987:IBV851992 ILR851987:ILR851992 IVN851987:IVN851992 JFJ851987:JFJ851992 JPF851987:JPF851992 JZB851987:JZB851992 KIX851987:KIX851992 KST851987:KST851992 LCP851987:LCP851992 LML851987:LML851992 LWH851987:LWH851992 MGD851987:MGD851992 MPZ851987:MPZ851992 MZV851987:MZV851992 NJR851987:NJR851992 NTN851987:NTN851992 ODJ851987:ODJ851992 ONF851987:ONF851992 OXB851987:OXB851992 PGX851987:PGX851992 PQT851987:PQT851992 QAP851987:QAP851992 QKL851987:QKL851992 QUH851987:QUH851992 RED851987:RED851992 RNZ851987:RNZ851992 RXV851987:RXV851992 SHR851987:SHR851992 SRN851987:SRN851992 TBJ851987:TBJ851992 TLF851987:TLF851992 TVB851987:TVB851992 UEX851987:UEX851992 UOT851987:UOT851992 UYP851987:UYP851992 VIL851987:VIL851992 VSH851987:VSH851992 WCD851987:WCD851992 WLZ851987:WLZ851992 WVV851987:WVV851992 X917523:X917528 JJ917523:JJ917528 TF917523:TF917528 ADB917523:ADB917528 AMX917523:AMX917528 AWT917523:AWT917528 BGP917523:BGP917528 BQL917523:BQL917528 CAH917523:CAH917528 CKD917523:CKD917528 CTZ917523:CTZ917528 DDV917523:DDV917528 DNR917523:DNR917528 DXN917523:DXN917528 EHJ917523:EHJ917528 ERF917523:ERF917528 FBB917523:FBB917528 FKX917523:FKX917528 FUT917523:FUT917528 GEP917523:GEP917528 GOL917523:GOL917528 GYH917523:GYH917528 HID917523:HID917528 HRZ917523:HRZ917528 IBV917523:IBV917528 ILR917523:ILR917528 IVN917523:IVN917528 JFJ917523:JFJ917528 JPF917523:JPF917528 JZB917523:JZB917528 KIX917523:KIX917528 KST917523:KST917528 LCP917523:LCP917528 LML917523:LML917528 LWH917523:LWH917528 MGD917523:MGD917528 MPZ917523:MPZ917528 MZV917523:MZV917528 NJR917523:NJR917528 NTN917523:NTN917528 ODJ917523:ODJ917528 ONF917523:ONF917528 OXB917523:OXB917528 PGX917523:PGX917528 PQT917523:PQT917528 QAP917523:QAP917528 QKL917523:QKL917528 QUH917523:QUH917528 RED917523:RED917528 RNZ917523:RNZ917528 RXV917523:RXV917528 SHR917523:SHR917528 SRN917523:SRN917528 TBJ917523:TBJ917528 TLF917523:TLF917528 TVB917523:TVB917528 UEX917523:UEX917528 UOT917523:UOT917528 UYP917523:UYP917528 VIL917523:VIL917528 VSH917523:VSH917528 WCD917523:WCD917528 WLZ917523:WLZ917528 WVV917523:WVV917528 X983059:X983064 JJ983059:JJ983064 TF983059:TF983064 ADB983059:ADB983064 AMX983059:AMX983064 AWT983059:AWT983064 BGP983059:BGP983064 BQL983059:BQL983064 CAH983059:CAH983064 CKD983059:CKD983064 CTZ983059:CTZ983064 DDV983059:DDV983064 DNR983059:DNR983064 DXN983059:DXN983064 EHJ983059:EHJ983064 ERF983059:ERF983064 FBB983059:FBB983064 FKX983059:FKX983064 FUT983059:FUT983064 GEP983059:GEP983064 GOL983059:GOL983064 GYH983059:GYH983064 HID983059:HID983064 HRZ983059:HRZ983064 IBV983059:IBV983064 ILR983059:ILR983064 IVN983059:IVN983064 JFJ983059:JFJ983064 JPF983059:JPF983064 JZB983059:JZB983064 KIX983059:KIX983064 KST983059:KST983064 LCP983059:LCP983064 LML983059:LML983064 LWH983059:LWH983064 MGD983059:MGD983064 MPZ983059:MPZ983064 MZV983059:MZV983064 NJR983059:NJR983064 NTN983059:NTN983064 ODJ983059:ODJ983064 ONF983059:ONF983064 OXB983059:OXB983064 PGX983059:PGX983064 PQT983059:PQT983064 QAP983059:QAP983064 QKL983059:QKL983064 QUH983059:QUH983064 RED983059:RED983064 RNZ983059:RNZ983064 RXV983059:RXV983064 SHR983059:SHR983064 SRN983059:SRN983064 TBJ983059:TBJ983064 TLF983059:TLF983064 TVB983059:TVB983064 UEX983059:UEX983064 UOT983059:UOT983064 UYP983059:UYP983064 VIL983059:VIL983064 VSH983059:VSH983064 WCD983059:WCD983064 WLZ983059:WLZ983064 WVV19:WVV24 JJ19:JJ24 TF19:TF24 ADB19:ADB24 AMX19:AMX24 AWT19:AWT24 BGP19:BGP24 BQL19:BQL24 CAH19:CAH24 CKD19:CKD24 CTZ19:CTZ24 DDV19:DDV24 DNR19:DNR24 DXN19:DXN24 EHJ19:EHJ24 ERF19:ERF24 FBB19:FBB24 FKX19:FKX24 FUT19:FUT24 GEP19:GEP24 GOL19:GOL24 GYH19:GYH24 HID19:HID24 HRZ19:HRZ24 IBV19:IBV24 ILR19:ILR24 IVN19:IVN24 JFJ19:JFJ24 JPF19:JPF24 JZB19:JZB24 KIX19:KIX24 KST19:KST24 LCP19:LCP24 LML19:LML24 LWH19:LWH24 MGD19:MGD24 MPZ19:MPZ24 MZV19:MZV24 NJR19:NJR24 NTN19:NTN24 ODJ19:ODJ24 ONF19:ONF24 OXB19:OXB24 PGX19:PGX24 PQT19:PQT24 QAP19:QAP24 QKL19:QKL24 QUH19:QUH24 RED19:RED24 RNZ19:RNZ24 RXV19:RXV24 SHR19:SHR24 SRN19:SRN24 TBJ19:TBJ24 TLF19:TLF24 TVB19:TVB24 UEX19:UEX24 UOT19:UOT24 UYP19:UYP24 VIL19:VIL24 VSH19:VSH24 WCD19:WCD24 WLZ19:WLZ24 SW23">
      <formula1>900</formula1>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L42"/>
  <sheetViews>
    <sheetView showGridLines="0" topLeftCell="C13" zoomScale="90" workbookViewId="0"/>
  </sheetViews>
  <sheetFormatPr defaultColWidth="10.5703125" defaultRowHeight="14.25" customHeight="1"/>
  <cols>
    <col min="1" max="1" width="9.140625" style="1696" hidden="1" customWidth="1"/>
    <col min="2" max="2" width="9.140625" style="1284" hidden="1" customWidth="1"/>
    <col min="3" max="3" width="3.7109375" style="265" customWidth="1"/>
    <col min="4" max="4" width="6.28515625" style="1552" customWidth="1"/>
    <col min="5" max="5" width="63.42578125" style="1552" customWidth="1"/>
    <col min="6" max="6" width="1.7109375" style="1552" hidden="1" customWidth="1"/>
    <col min="7" max="8" width="35.7109375" style="1552" customWidth="1"/>
    <col min="9" max="9" width="91.5703125" style="1552" customWidth="1"/>
    <col min="10" max="10" width="68.85546875" style="1552" customWidth="1"/>
    <col min="11" max="12" width="10.5703125" style="1541"/>
  </cols>
  <sheetData>
    <row r="1" spans="1:12" ht="14.25" hidden="1" customHeight="1"/>
    <row r="2" spans="1:12" s="1552" customFormat="1" ht="18.75" hidden="1" customHeight="1">
      <c r="A2" s="1600"/>
      <c r="B2" s="1062"/>
      <c r="C2" s="1646" t="s">
        <v>121</v>
      </c>
      <c r="D2" s="1590"/>
      <c r="E2" s="116"/>
      <c r="F2" s="1587"/>
      <c r="G2" s="1587" t="s">
        <v>297</v>
      </c>
      <c r="H2" s="1063"/>
      <c r="K2" s="1541"/>
      <c r="L2" s="1541"/>
    </row>
    <row r="3" spans="1:12" s="1552" customFormat="1" ht="14.25" hidden="1" customHeight="1">
      <c r="A3" s="1280"/>
      <c r="B3" s="1062"/>
      <c r="C3" s="265"/>
      <c r="K3" s="1541"/>
      <c r="L3" s="1541"/>
    </row>
    <row r="4" spans="1:12" s="1552" customFormat="1" ht="18.75" hidden="1" customHeight="1">
      <c r="A4" s="1600"/>
      <c r="B4" s="1062"/>
      <c r="C4" s="1646" t="s">
        <v>121</v>
      </c>
      <c r="D4" s="1590"/>
      <c r="E4" s="122" t="s">
        <v>1594</v>
      </c>
      <c r="F4" s="1587"/>
      <c r="G4" s="172"/>
      <c r="H4" s="1587" t="s">
        <v>297</v>
      </c>
      <c r="K4" s="1541"/>
      <c r="L4" s="1541"/>
    </row>
    <row r="5" spans="1:12" s="1552" customFormat="1" ht="14.25" hidden="1" customHeight="1">
      <c r="A5" s="1280"/>
      <c r="B5" s="1062"/>
      <c r="C5" s="265"/>
      <c r="K5" s="1541"/>
      <c r="L5" s="1541"/>
    </row>
    <row r="6" spans="1:12" s="1552" customFormat="1" ht="18.75" hidden="1" customHeight="1">
      <c r="A6" s="1600"/>
      <c r="B6" s="1062"/>
      <c r="C6" s="1646" t="s">
        <v>121</v>
      </c>
      <c r="D6" s="1590"/>
      <c r="E6" s="123" t="s">
        <v>1595</v>
      </c>
      <c r="F6" s="1587"/>
      <c r="G6" s="172"/>
      <c r="H6" s="1587" t="s">
        <v>297</v>
      </c>
      <c r="K6" s="1541"/>
      <c r="L6" s="1541"/>
    </row>
    <row r="7" spans="1:12" s="1552" customFormat="1" ht="14.25" hidden="1" customHeight="1">
      <c r="A7" s="1280"/>
      <c r="B7" s="1062"/>
      <c r="C7" s="265"/>
      <c r="K7" s="1541"/>
      <c r="L7" s="1541"/>
    </row>
    <row r="8" spans="1:12" s="1552" customFormat="1" ht="18.75" hidden="1" customHeight="1">
      <c r="A8" s="1600"/>
      <c r="B8" s="1062"/>
      <c r="C8" s="1646" t="s">
        <v>121</v>
      </c>
      <c r="D8" s="1590"/>
      <c r="E8" s="123" t="s">
        <v>1596</v>
      </c>
      <c r="F8" s="1587"/>
      <c r="G8" s="172"/>
      <c r="H8" s="1587" t="s">
        <v>297</v>
      </c>
      <c r="K8" s="1541"/>
      <c r="L8" s="1541"/>
    </row>
    <row r="9" spans="1:12" s="1552" customFormat="1" ht="14.25" hidden="1" customHeight="1">
      <c r="A9" s="1280"/>
      <c r="B9" s="1062"/>
      <c r="C9" s="265"/>
      <c r="K9" s="1541"/>
      <c r="L9" s="1541"/>
    </row>
    <row r="10" spans="1:12" s="1552" customFormat="1" ht="18.75" hidden="1" customHeight="1">
      <c r="A10" s="1600"/>
      <c r="B10" s="1062"/>
      <c r="C10" s="1646" t="s">
        <v>121</v>
      </c>
      <c r="D10" s="1590"/>
      <c r="E10" s="123" t="s">
        <v>1597</v>
      </c>
      <c r="F10" s="1587"/>
      <c r="G10" s="1591"/>
      <c r="H10" s="1587" t="s">
        <v>297</v>
      </c>
      <c r="K10" s="1541"/>
      <c r="L10" s="1541" t="s">
        <v>1598</v>
      </c>
    </row>
    <row r="11" spans="1:12" ht="14.25" hidden="1" customHeight="1"/>
    <row r="12" spans="1:12" ht="14.25" hidden="1" customHeight="1"/>
    <row r="13" spans="1:12" ht="14.25" customHeight="1">
      <c r="C13" s="26"/>
      <c r="D13" s="15"/>
      <c r="E13" s="15"/>
      <c r="F13" s="15"/>
      <c r="G13" s="15"/>
      <c r="H13" s="16"/>
      <c r="I13" s="16"/>
    </row>
    <row r="14" spans="1:12" ht="30" customHeight="1">
      <c r="C14" s="26"/>
      <c r="D14" s="1867" t="str">
        <f>PROCEDURE_TC_NAME_FORM</f>
        <v>Форма 12.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холодного водоснабжения &lt;1&gt;</v>
      </c>
      <c r="E14" s="1868"/>
      <c r="F14" s="1868"/>
      <c r="G14" s="1868"/>
      <c r="H14" s="1869"/>
      <c r="J14" s="1548"/>
    </row>
    <row r="15" spans="1:12" s="1552" customFormat="1" ht="14.25" customHeight="1">
      <c r="A15" s="1280"/>
      <c r="B15" s="1062"/>
      <c r="C15" s="300"/>
      <c r="D15" s="1974" t="str">
        <f>IF(org=0,"Не определено",org)</f>
        <v>АО СЗ "КМАпроектжилстрой"</v>
      </c>
      <c r="E15" s="1975"/>
      <c r="F15" s="1975"/>
      <c r="G15" s="1975"/>
      <c r="H15" s="1976"/>
      <c r="J15" s="765"/>
      <c r="K15" s="1541"/>
      <c r="L15" s="1541"/>
    </row>
    <row r="16" spans="1:12" ht="14.25" customHeight="1">
      <c r="C16" s="26"/>
      <c r="D16" s="15"/>
      <c r="E16" s="25"/>
      <c r="F16" s="25"/>
      <c r="G16" s="25"/>
      <c r="H16" s="666"/>
      <c r="I16" s="110"/>
    </row>
    <row r="17" spans="1:12" s="1552" customFormat="1" ht="14.25" hidden="1" customHeight="1">
      <c r="A17" s="1280"/>
      <c r="B17" s="1062"/>
      <c r="C17" s="300"/>
      <c r="D17" s="286"/>
      <c r="E17" s="318"/>
      <c r="F17" s="318"/>
      <c r="G17" s="318"/>
      <c r="H17" s="666"/>
      <c r="I17" s="110"/>
      <c r="K17" s="1541"/>
      <c r="L17" s="1541"/>
    </row>
    <row r="18" spans="1:12" ht="21" customHeight="1">
      <c r="C18" s="26"/>
      <c r="D18" s="1959" t="s">
        <v>291</v>
      </c>
      <c r="E18" s="1959"/>
      <c r="F18" s="1959"/>
      <c r="G18" s="1959"/>
      <c r="H18" s="1959"/>
      <c r="I18" s="2063" t="s">
        <v>292</v>
      </c>
    </row>
    <row r="19" spans="1:12" ht="21" customHeight="1">
      <c r="C19" s="26"/>
      <c r="D19" s="32" t="s">
        <v>88</v>
      </c>
      <c r="E19" s="35" t="s">
        <v>293</v>
      </c>
      <c r="F19" s="35"/>
      <c r="G19" s="35" t="s">
        <v>294</v>
      </c>
      <c r="H19" s="35" t="s">
        <v>383</v>
      </c>
      <c r="I19" s="2063"/>
    </row>
    <row r="20" spans="1:12" ht="12" customHeight="1">
      <c r="C20" s="26"/>
      <c r="D20" s="18" t="s">
        <v>109</v>
      </c>
      <c r="E20" s="18" t="s">
        <v>110</v>
      </c>
      <c r="F20" s="18"/>
      <c r="G20" s="18" t="s">
        <v>90</v>
      </c>
      <c r="H20" s="18" t="s">
        <v>91</v>
      </c>
      <c r="I20" s="18" t="s">
        <v>111</v>
      </c>
    </row>
    <row r="21" spans="1:12" ht="14.25" customHeight="1">
      <c r="A21" s="1600"/>
      <c r="C21" s="26"/>
      <c r="D21" s="67">
        <v>1</v>
      </c>
      <c r="E21" s="2160" t="s">
        <v>1599</v>
      </c>
      <c r="F21" s="2160"/>
      <c r="G21" s="2160"/>
      <c r="H21" s="2160"/>
      <c r="I21" s="125"/>
    </row>
    <row r="22" spans="1:12" ht="20.25" customHeight="1">
      <c r="A22" s="1600"/>
      <c r="C22" s="26"/>
      <c r="D22" s="67" t="s">
        <v>429</v>
      </c>
      <c r="E22" s="111" t="s">
        <v>1600</v>
      </c>
      <c r="F22" s="115"/>
      <c r="G22" s="1653"/>
      <c r="H22" s="115" t="s">
        <v>297</v>
      </c>
      <c r="I22" s="71" t="s">
        <v>1601</v>
      </c>
    </row>
    <row r="23" spans="1:12" ht="45" customHeight="1">
      <c r="A23" s="1600"/>
      <c r="C23" s="26"/>
      <c r="D23" s="67" t="s">
        <v>444</v>
      </c>
      <c r="E23" s="111" t="s">
        <v>1602</v>
      </c>
      <c r="F23" s="115"/>
      <c r="G23" s="172"/>
      <c r="H23" s="130"/>
      <c r="I23" s="173" t="s">
        <v>1603</v>
      </c>
    </row>
    <row r="24" spans="1:12" ht="14.25" customHeight="1">
      <c r="A24" s="1600"/>
      <c r="B24" s="66">
        <v>3</v>
      </c>
      <c r="C24" s="26"/>
      <c r="D24" s="67">
        <v>2</v>
      </c>
      <c r="E24" s="139" t="str">
        <f>"Форма заявки на заключение договора о подключении (технологическом присоединении) к системе "&amp;TEMPLATE_SPHERE_RUS</f>
        <v>Форма заявки на заключение договора о подключении (технологическом присоединении) к системе холодного водоснабжения</v>
      </c>
      <c r="F24" s="115"/>
      <c r="G24" s="115" t="s">
        <v>297</v>
      </c>
      <c r="H24" s="130"/>
      <c r="I24" s="174" t="s">
        <v>1559</v>
      </c>
    </row>
    <row r="25" spans="1:12" ht="46.5" customHeight="1">
      <c r="A25" s="1600"/>
      <c r="C25" s="26"/>
      <c r="D25" s="67">
        <v>3</v>
      </c>
      <c r="E25" s="2160" t="str">
        <f>"Перечень документов и сведений, представляемых одновременно "&amp;IF(TEMPLATE_SPHERE="HEAT","с заявкой на заключение","с заявлением о заключении")&amp;" договора о подключении (технологическом присоединении) к системе "&amp;TEMPLATE_SPHERE_RUS&amp;IF(TEMPLATE_SPHERE="HEAT","",", и указание на запрет требовать представления документов и сведений или осуществления действий, не предусмотренных законодательством Российской Федерации"&amp;" о градостроительной деятельности и законодательством Российской Федерации в сфере водоснабжения и водоотведения")</f>
        <v>Перечень документов и сведений, представляемых одновременно с заявлением о заключении договора о подключении (технологическом присоединении) к системе холодного водоснабжения, и указание на запрет требовать представления документов и сведений или осуществления действий, не предусмотренных законодательством Российской Федерации о градостроительной деятельности и законодательством Российской Федерации в сфере водоснабжения и водоотведения</v>
      </c>
      <c r="F25" s="2160"/>
      <c r="G25" s="2160"/>
      <c r="H25" s="2160"/>
      <c r="I25" s="171"/>
    </row>
    <row r="26" spans="1:12" ht="14.25" customHeight="1">
      <c r="A26" s="1600"/>
      <c r="C26" s="26"/>
      <c r="D26" s="67" t="s">
        <v>317</v>
      </c>
      <c r="E26" s="116"/>
      <c r="F26" s="115"/>
      <c r="G26" s="115" t="s">
        <v>297</v>
      </c>
      <c r="H26" s="130"/>
      <c r="I26" s="1918" t="s">
        <v>1604</v>
      </c>
    </row>
    <row r="27" spans="1:12" ht="15" customHeight="1">
      <c r="A27" s="1600" t="s">
        <v>109</v>
      </c>
      <c r="C27" s="26"/>
      <c r="D27" s="36"/>
      <c r="E27" s="120" t="s">
        <v>452</v>
      </c>
      <c r="F27" s="121"/>
      <c r="G27" s="121"/>
      <c r="H27" s="118"/>
      <c r="I27" s="1920"/>
    </row>
    <row r="28" spans="1:12" ht="38.25" customHeight="1">
      <c r="A28" s="1600"/>
      <c r="B28" s="66">
        <v>3</v>
      </c>
      <c r="C28" s="26"/>
      <c r="D28" s="67">
        <v>4</v>
      </c>
      <c r="E28" s="2160" t="str">
        <f>"Реквизиты нормативных правовых актов, регламентирующих порядок действий заявителя и "&amp;IF(TEMPLATE_SPHERE="HEAT","регулируемой ","")&amp;"организации"&amp;IF(TEMPLATE_SPHERE="HEAT",""," "&amp;TEMPLATE_SPHERE_RUS)&amp;" при подаче, приеме, обработке "&amp;IF(TEMPLATE_SPHERE="HEAT","заявки на заключение","заявления о заключении")&amp;" договора о подключении (технологическом присоединении) к системе "&amp;TEMPLATE_SPHERE_RUS&amp;IF(TEMPLATE_SPHERE="HEAT",""," (в том числе в форме электронного документа)")</f>
        <v>Реквизиты нормативных правовых актов, регламентирующих порядок действий заявителя и организации холодного водоснабжения при подаче, приеме, обработке заявления о заключении договора о подключении (технологическом присоединении) к системе холодного водоснабжения (в том числе в форме электронного документа)</v>
      </c>
      <c r="F28" s="2160"/>
      <c r="G28" s="2160"/>
      <c r="H28" s="2160"/>
      <c r="I28" s="171"/>
    </row>
    <row r="29" spans="1:12" ht="20.25" customHeight="1">
      <c r="A29" s="1600"/>
      <c r="C29" s="26"/>
      <c r="D29" s="67" t="s">
        <v>1464</v>
      </c>
      <c r="E29" s="122" t="s">
        <v>1594</v>
      </c>
      <c r="F29" s="115"/>
      <c r="G29" s="172"/>
      <c r="H29" s="115" t="s">
        <v>297</v>
      </c>
      <c r="I29" s="1918" t="s">
        <v>1605</v>
      </c>
    </row>
    <row r="30" spans="1:12" ht="15" customHeight="1">
      <c r="A30" s="1600" t="s">
        <v>110</v>
      </c>
      <c r="C30" s="26"/>
      <c r="D30" s="36"/>
      <c r="E30" s="120" t="s">
        <v>452</v>
      </c>
      <c r="F30" s="121"/>
      <c r="G30" s="121"/>
      <c r="H30" s="118"/>
      <c r="I30" s="1920"/>
    </row>
    <row r="31" spans="1:12" ht="30" customHeight="1">
      <c r="A31" s="1600"/>
      <c r="B31" s="66">
        <v>3</v>
      </c>
      <c r="C31" s="26"/>
      <c r="D31" s="67">
        <v>5</v>
      </c>
      <c r="E31" s="2160" t="str">
        <f>"Телефоны, адреса и график работы службы, ответственной за прием и обработку заявок на заключение договора о подключении (технологическом присоединении) к системе "&amp;TEMPLATE_SPHERE_RUS</f>
        <v>Телефоны, адреса и график работы службы, ответственной за прием и обработку заявок на заключение договора о подключении (технологическом присоединении) к системе холодного водоснабжения</v>
      </c>
      <c r="F31" s="2160"/>
      <c r="G31" s="2160"/>
      <c r="H31" s="2160"/>
      <c r="I31" s="171"/>
    </row>
    <row r="32" spans="1:12" ht="26.25" customHeight="1">
      <c r="A32" s="1600"/>
      <c r="C32" s="26"/>
      <c r="D32" s="67" t="s">
        <v>306</v>
      </c>
      <c r="E32" s="2161" t="str">
        <f>"телефоны службы, ответственной за прием и обработку заявок на заключение договора о подключении (технологическом присоединении) к системе "&amp;TEMPLATE_SPHERE_RUS</f>
        <v>телефоны службы, ответственной за прием и обработку заявок на заключение договора о подключении (технологическом присоединении) к системе холодного водоснабжения</v>
      </c>
      <c r="F32" s="2161"/>
      <c r="G32" s="2161"/>
      <c r="H32" s="2161"/>
      <c r="I32" s="171"/>
    </row>
    <row r="33" spans="1:12" ht="14.25" customHeight="1">
      <c r="A33" s="1600"/>
      <c r="C33" s="26"/>
      <c r="D33" s="67" t="s">
        <v>1471</v>
      </c>
      <c r="E33" s="123" t="s">
        <v>1595</v>
      </c>
      <c r="F33" s="115"/>
      <c r="G33" s="172"/>
      <c r="H33" s="115" t="s">
        <v>297</v>
      </c>
      <c r="I33" s="1918" t="s">
        <v>1606</v>
      </c>
    </row>
    <row r="34" spans="1:12" ht="15" customHeight="1">
      <c r="A34" s="1600" t="s">
        <v>90</v>
      </c>
      <c r="C34" s="26"/>
      <c r="D34" s="36"/>
      <c r="E34" s="121" t="s">
        <v>452</v>
      </c>
      <c r="F34" s="117"/>
      <c r="G34" s="117"/>
      <c r="H34" s="118"/>
      <c r="I34" s="1920"/>
    </row>
    <row r="35" spans="1:12" ht="24" customHeight="1">
      <c r="A35" s="1600"/>
      <c r="C35" s="26"/>
      <c r="D35" s="67" t="s">
        <v>308</v>
      </c>
      <c r="E35" s="2161" t="str">
        <f>"адреса службы, ответственной за прием и обработку заявок на заключение договора о подключении (технологическом присоединении) к системе "&amp;TEMPLATE_SPHERE_RUS</f>
        <v>адреса службы, ответственной за прием и обработку заявок на заключение договора о подключении (технологическом присоединении) к системе холодного водоснабжения</v>
      </c>
      <c r="F35" s="2161"/>
      <c r="G35" s="2161"/>
      <c r="H35" s="2161"/>
      <c r="I35" s="171"/>
    </row>
    <row r="36" spans="1:12" ht="14.25" customHeight="1">
      <c r="A36" s="1600"/>
      <c r="C36" s="26"/>
      <c r="D36" s="67" t="s">
        <v>1607</v>
      </c>
      <c r="E36" s="123" t="s">
        <v>1596</v>
      </c>
      <c r="F36" s="115"/>
      <c r="G36" s="172"/>
      <c r="H36" s="115" t="s">
        <v>297</v>
      </c>
      <c r="I36" s="1896" t="s">
        <v>1608</v>
      </c>
    </row>
    <row r="37" spans="1:12" ht="15" customHeight="1">
      <c r="A37" s="1600" t="s">
        <v>91</v>
      </c>
      <c r="C37" s="26"/>
      <c r="D37" s="36"/>
      <c r="E37" s="121" t="s">
        <v>452</v>
      </c>
      <c r="F37" s="117"/>
      <c r="G37" s="117"/>
      <c r="H37" s="118"/>
      <c r="I37" s="1896"/>
    </row>
    <row r="38" spans="1:12" ht="26.25" customHeight="1">
      <c r="A38" s="1600"/>
      <c r="C38" s="26"/>
      <c r="D38" s="67" t="s">
        <v>311</v>
      </c>
      <c r="E38" s="2161" t="str">
        <f>"график работы службы, ответственной за прием и обработку заявок на заключение договора о подключении (технологическом присоединении) к системе "&amp;TEMPLATE_SPHERE_RUS</f>
        <v>график работы службы, ответственной за прием и обработку заявок на заключение договора о подключении (технологическом присоединении) к системе холодного водоснабжения</v>
      </c>
      <c r="F38" s="2161"/>
      <c r="G38" s="2161"/>
      <c r="H38" s="2161"/>
      <c r="I38" s="171"/>
    </row>
    <row r="39" spans="1:12" ht="14.25" customHeight="1">
      <c r="A39" s="1600"/>
      <c r="C39" s="26"/>
      <c r="D39" s="67" t="s">
        <v>1609</v>
      </c>
      <c r="E39" s="123" t="s">
        <v>1597</v>
      </c>
      <c r="F39" s="115"/>
      <c r="G39" s="124"/>
      <c r="H39" s="115" t="s">
        <v>297</v>
      </c>
      <c r="I39" s="1918" t="s">
        <v>1610</v>
      </c>
      <c r="L39" s="73" t="s">
        <v>1598</v>
      </c>
    </row>
    <row r="40" spans="1:12" ht="15" customHeight="1">
      <c r="A40" s="1600" t="s">
        <v>111</v>
      </c>
      <c r="C40" s="26"/>
      <c r="D40" s="36"/>
      <c r="E40" s="121" t="s">
        <v>452</v>
      </c>
      <c r="F40" s="117"/>
      <c r="G40" s="117"/>
      <c r="H40" s="118"/>
      <c r="I40" s="1920"/>
    </row>
    <row r="41" spans="1:12" s="1743" customFormat="1" ht="3" customHeight="1">
      <c r="A41" s="1600"/>
      <c r="K41" s="113"/>
      <c r="L41" s="113"/>
    </row>
    <row r="42" spans="1:12" ht="24.75" customHeight="1">
      <c r="D42" s="1598" t="s">
        <v>508</v>
      </c>
      <c r="E42" s="2075" t="str">
        <f>"Информация размещается в случае, если организация осуществляет услуги по подключению (технологическому присоединению) к системе "&amp;TEMPLATE_SPHERE_RUS&amp;"."</f>
        <v>Информация размещается в случае, если организация осуществляет услуги по подключению (технологическому присоединению) к системе холодного водоснабжения.</v>
      </c>
      <c r="F42" s="2075"/>
      <c r="G42" s="2075"/>
      <c r="H42" s="2075"/>
      <c r="I42" s="2075"/>
    </row>
  </sheetData>
  <sheetProtection formatColumns="0" formatRows="0" insertRows="0" deleteColumns="0" deleteRows="0" sort="0" autoFilter="0"/>
  <mergeCells count="17">
    <mergeCell ref="E42:I42"/>
    <mergeCell ref="E32:H32"/>
    <mergeCell ref="E35:H35"/>
    <mergeCell ref="E38:H38"/>
    <mergeCell ref="I33:I34"/>
    <mergeCell ref="I36:I37"/>
    <mergeCell ref="I39:I40"/>
    <mergeCell ref="I29:I30"/>
    <mergeCell ref="E31:H31"/>
    <mergeCell ref="D14:H14"/>
    <mergeCell ref="D18:H18"/>
    <mergeCell ref="I18:I19"/>
    <mergeCell ref="E21:H21"/>
    <mergeCell ref="E25:H25"/>
    <mergeCell ref="I26:I27"/>
    <mergeCell ref="E28:H28"/>
    <mergeCell ref="D15:H15"/>
  </mergeCells>
  <dataValidations count="4">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2"/>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G10 G39">
      <formula1>"a"</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H23:H24 H2 H26">
      <formula1>900</formula1>
    </dataValidation>
    <dataValidation type="textLength" operator="lessThanOrEqual" allowBlank="1" showInputMessage="1" showErrorMessage="1" errorTitle="Ошибка" error="Допускается ввод не более 900 символов!" sqref="I23:I24 I33 G36 I39 I26 E29 G33 E36 I29 E33 I36 G23 E26 I10 E23 G29 E10 G8 E2 I2 I4 G4 E4 E6 I6 G6 E8 I8 E39">
      <formula1>900</formula1>
    </dataValidation>
  </dataValidations>
  <pageMargins left="0.7" right="0.7" top="0.75" bottom="0.75" header="0.3" footer="0.3"/>
  <pageSetup orientation="portrait"/>
  <headerFooter>
    <oddHeader>&amp;L&amp;C&amp;R</oddHeader>
    <oddFooter>&amp;L&amp;C&amp;R</oddFooter>
    <evenHeader>&amp;L&amp;C&amp;R</evenHeader>
    <evenFooter>&amp;L&amp;C&amp;R</evenFooter>
  </headerFooter>
  <drawing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Q16"/>
  <sheetViews>
    <sheetView showGridLines="0" topLeftCell="C4" zoomScale="90" workbookViewId="0"/>
  </sheetViews>
  <sheetFormatPr defaultColWidth="10.5703125" defaultRowHeight="14.25" customHeight="1"/>
  <cols>
    <col min="1" max="1" width="9.140625" style="1803" hidden="1" customWidth="1"/>
    <col min="2" max="2" width="9.140625" style="1284" hidden="1" customWidth="1"/>
    <col min="3" max="3" width="3.7109375" style="265" customWidth="1"/>
    <col min="4" max="4" width="6.28515625" style="1552" customWidth="1"/>
    <col min="5" max="5" width="38.140625" style="1552" customWidth="1"/>
    <col min="6" max="7" width="35.7109375" style="1552" customWidth="1"/>
    <col min="8" max="8" width="89.5703125" style="1552" customWidth="1"/>
    <col min="9" max="9" width="10.5703125" style="1552"/>
    <col min="10" max="11" width="10.5703125" style="1541"/>
    <col min="12" max="17" width="10.5703125" style="1552"/>
  </cols>
  <sheetData>
    <row r="1" spans="1:17" ht="14.25" hidden="1" customHeight="1">
      <c r="N1" s="170"/>
      <c r="O1" s="170"/>
      <c r="Q1" s="170"/>
    </row>
    <row r="2" spans="1:17" s="1552" customFormat="1" ht="18.75" hidden="1" customHeight="1">
      <c r="A2" s="30"/>
      <c r="B2" s="1062"/>
      <c r="C2" s="1646" t="s">
        <v>121</v>
      </c>
      <c r="D2" s="1590"/>
      <c r="E2" s="1599"/>
      <c r="F2" s="172"/>
      <c r="G2" s="1063"/>
      <c r="H2" s="297"/>
      <c r="I2" s="1541"/>
      <c r="J2" s="1541"/>
    </row>
    <row r="3" spans="1:17" ht="14.25" hidden="1" customHeight="1"/>
    <row r="4" spans="1:17" ht="6" customHeight="1">
      <c r="C4" s="300"/>
      <c r="D4" s="286"/>
      <c r="E4" s="286"/>
      <c r="F4" s="286"/>
      <c r="G4" s="16"/>
      <c r="H4" s="16"/>
    </row>
    <row r="5" spans="1:17" ht="54.75" customHeight="1">
      <c r="C5" s="300"/>
      <c r="D5" s="1867" t="str">
        <f>PURCH_NAME_FORM</f>
        <v>Форма 13. Информация о способах приобретения, стоимости и об объемах товаров (работ, услуг), необходимых организации холодного водоснабжениядля производства товаров (оказания услуг) в сфере холодного водоснабжения, тарифы на которые подлежат регулированию, содержит сведения о правовых актах, регламентирующих правила закупки (положение о закупке) в организации холодного водоснабжения и о месте их размещения, а также сведения о планировании закупок и результатах их проведения</v>
      </c>
      <c r="E5" s="1868"/>
      <c r="F5" s="1868"/>
      <c r="G5" s="1869"/>
      <c r="H5" s="181"/>
    </row>
    <row r="6" spans="1:17" s="1552" customFormat="1" ht="17.25" customHeight="1">
      <c r="A6" s="1586"/>
      <c r="B6" s="1062"/>
      <c r="C6" s="300"/>
      <c r="D6" s="1974" t="str">
        <f>IF(org=0,"Не определено",org)</f>
        <v>АО СЗ "КМАпроектжилстрой"</v>
      </c>
      <c r="E6" s="1975"/>
      <c r="F6" s="1975"/>
      <c r="G6" s="1976"/>
      <c r="H6" s="181"/>
      <c r="J6" s="1541"/>
      <c r="K6" s="1541"/>
    </row>
    <row r="7" spans="1:17" ht="14.25" customHeight="1">
      <c r="C7" s="300"/>
      <c r="D7" s="286"/>
      <c r="E7" s="318"/>
      <c r="F7" s="318"/>
      <c r="G7" s="666"/>
      <c r="H7" s="110"/>
    </row>
    <row r="8" spans="1:17" ht="14.25" customHeight="1">
      <c r="C8" s="300"/>
      <c r="D8" s="1959" t="s">
        <v>291</v>
      </c>
      <c r="E8" s="1959"/>
      <c r="F8" s="1959"/>
      <c r="G8" s="1959"/>
      <c r="H8" s="2063" t="s">
        <v>292</v>
      </c>
    </row>
    <row r="9" spans="1:17" ht="14.25" customHeight="1">
      <c r="C9" s="300"/>
      <c r="D9" s="315" t="s">
        <v>88</v>
      </c>
      <c r="E9" s="35" t="s">
        <v>293</v>
      </c>
      <c r="F9" s="35" t="s">
        <v>294</v>
      </c>
      <c r="G9" s="35" t="s">
        <v>383</v>
      </c>
      <c r="H9" s="2063"/>
    </row>
    <row r="10" spans="1:17" ht="14.25" customHeight="1">
      <c r="A10" s="264"/>
      <c r="C10" s="300"/>
      <c r="D10" s="67" t="s">
        <v>109</v>
      </c>
      <c r="E10" s="317" t="str">
        <f>"Сведения о правовых актах, регламентирующих правила закупки (положение о закупках) в "&amp;IF(TEMPLATE_SPHERE="TKO","организации",IF(TEMPLATE_SPHERE="HEAT","регулируемой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теплоснабжения","организации "&amp;TEMPLATE_SPHERE_RUS))</f>
        <v>Сведения о правовых актах, регламентирующих правила закупки (положение о закупках) в организации холодного водоснабжения</v>
      </c>
      <c r="F10" s="172"/>
      <c r="G10" s="130"/>
      <c r="H10" s="1918" t="s">
        <v>1611</v>
      </c>
    </row>
    <row r="11" spans="1:17" ht="14.25" customHeight="1">
      <c r="A11" s="264"/>
      <c r="C11" s="300"/>
      <c r="D11" s="67" t="s">
        <v>110</v>
      </c>
      <c r="E11" s="317" t="str">
        <f>"Сведения о месте размещения "&amp;IF(TEMPLATE_SPHERE="TKO","положения о закупках в организации",IF(TEMPLATE_SPHERE="HEAT","положения о закупке 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теплоснабжения","правовых актов, регламентирующих правила закупки (положение о закупках) в организации "&amp;TEMPLATE_SPHERE_RUS))</f>
        <v>Сведения о месте размещения правовых актов, регламентирующих правила закупки (положение о закупках) в организации холодного водоснабжения</v>
      </c>
      <c r="F11" s="172"/>
      <c r="G11" s="130"/>
      <c r="H11" s="1919"/>
    </row>
    <row r="12" spans="1:17" ht="22.5" customHeight="1">
      <c r="A12" s="30"/>
      <c r="C12" s="316"/>
      <c r="D12" s="67" t="s">
        <v>90</v>
      </c>
      <c r="E12" s="317" t="str">
        <f>"Сведения о планировании закупочных процедур"&amp;IF(TEMPLATE_SPHERE="TKO"," &lt;1&gt;","")</f>
        <v>Сведения о планировании закупочных процедур</v>
      </c>
      <c r="F12" s="172"/>
      <c r="G12" s="130"/>
      <c r="H12" s="1919" t="str">
        <f>"В случае наличия дополнительных сведений о способах приобретения, стоимости и объемах товаров, необходимых для производства "&amp;IF(OR(TEMPLATE_SPHERE="HEAT",TEMPLATE_SPHERE="TKO"),"","регулируемых ")&amp;"товаров и (или) оказания "&amp;IF(OR(TEMPLATE_SPHERE="HEAT",TEMPLATE_SPHERE="TKO"),"услуг организацией","регулируемых услуг регулируемой организацией")&amp;", информация по ним указывается в отдельных строках."</f>
        <v>В случае наличия дополнительных сведений о способах приобретения, стоимости и объемах товаров, необходимых для производства регулируемых товаров и (или) оказания регулируемых услуг регулируемой организацией, информация по ним указывается в отдельных строках.</v>
      </c>
      <c r="I12" s="271"/>
      <c r="K12" s="297"/>
    </row>
    <row r="13" spans="1:17" ht="22.5" customHeight="1">
      <c r="A13" s="30"/>
      <c r="C13" s="316"/>
      <c r="D13" s="67" t="s">
        <v>91</v>
      </c>
      <c r="E13" s="317" t="str">
        <f>"Сведения о результатах проведения закупочных процедур"&amp;IF(TEMPLATE_SPHERE="TKO"," &lt;1&gt;","")</f>
        <v>Сведения о результатах проведения закупочных процедур</v>
      </c>
      <c r="F13" s="172"/>
      <c r="G13" s="130"/>
      <c r="H13" s="1919"/>
      <c r="I13" s="271"/>
      <c r="K13" s="297"/>
    </row>
    <row r="14" spans="1:17" ht="14.25" customHeight="1">
      <c r="A14" s="264"/>
      <c r="C14" s="300"/>
      <c r="D14" s="268"/>
      <c r="E14" s="324" t="s">
        <v>452</v>
      </c>
      <c r="F14" s="270"/>
      <c r="G14" s="118"/>
      <c r="H14" s="1920"/>
    </row>
    <row r="15" spans="1:17" s="1552" customFormat="1" ht="14.25" customHeight="1">
      <c r="A15" s="264"/>
      <c r="B15" s="1062"/>
      <c r="C15" s="300"/>
      <c r="D15" s="325"/>
      <c r="E15" s="1594"/>
      <c r="F15" s="1595"/>
      <c r="G15" s="1596"/>
      <c r="H15" s="1597"/>
      <c r="J15" s="1541"/>
      <c r="K15" s="1541"/>
    </row>
    <row r="16" spans="1:17" ht="21.75" customHeight="1">
      <c r="D16" s="1598" t="s">
        <v>508</v>
      </c>
      <c r="E16" s="2075" t="s">
        <v>1612</v>
      </c>
      <c r="F16" s="2075"/>
      <c r="G16" s="2075"/>
      <c r="H16" s="2075"/>
    </row>
  </sheetData>
  <sheetProtection formatColumns="0" formatRows="0" insertRows="0" deleteColumns="0" deleteRows="0" sort="0" autoFilter="0"/>
  <mergeCells count="7">
    <mergeCell ref="E16:H16"/>
    <mergeCell ref="H10:H11"/>
    <mergeCell ref="H12:H14"/>
    <mergeCell ref="D5:G5"/>
    <mergeCell ref="D8:G8"/>
    <mergeCell ref="H8:H9"/>
    <mergeCell ref="D6:G6"/>
  </mergeCells>
  <dataValidations count="2">
    <dataValidation type="textLength" operator="lessThanOrEqual" allowBlank="1" showInputMessage="1" showErrorMessage="1" errorTitle="Ошибка" error="Допускается ввод не более 900 символов!" sqref="H10 E13 E2:F2 F10:F13">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либо ссылку на официальный сайт в сети «Интернет», на котором размещена информация" sqref="G2 G10:G13">
      <formula1>900</formula1>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drawing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1"/>
  <sheetViews>
    <sheetView showGridLines="0" workbookViewId="0"/>
  </sheetViews>
  <sheetFormatPr defaultRowHeight="11.25" customHeight="1"/>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W29"/>
  <sheetViews>
    <sheetView showGridLines="0" topLeftCell="K8" zoomScale="90" workbookViewId="0">
      <selection activeCell="K8" sqref="K8"/>
    </sheetView>
  </sheetViews>
  <sheetFormatPr defaultColWidth="10.5703125" defaultRowHeight="15" customHeight="1"/>
  <cols>
    <col min="1" max="1" width="9.140625" style="1549" hidden="1" customWidth="1"/>
    <col min="2" max="2" width="9.140625" style="1552" hidden="1" customWidth="1"/>
    <col min="3" max="3" width="4.7109375" style="599" customWidth="1"/>
    <col min="4" max="4" width="6.28515625" style="1552" customWidth="1"/>
    <col min="5" max="5" width="47.85546875" style="1552" customWidth="1"/>
    <col min="6" max="6" width="9.5703125" style="1552" customWidth="1"/>
    <col min="7" max="7" width="25.7109375" style="1552" hidden="1" customWidth="1"/>
    <col min="8" max="8" width="34" style="1552" hidden="1" customWidth="1"/>
    <col min="9" max="9" width="25.7109375" style="1552" customWidth="1"/>
    <col min="10" max="10" width="34" style="1552" customWidth="1"/>
    <col min="11" max="11" width="25.7109375" style="1552" customWidth="1"/>
    <col min="12" max="12" width="34" style="1552" customWidth="1"/>
    <col min="13" max="13" width="50.85546875" style="1284" customWidth="1"/>
    <col min="14" max="22" width="10.5703125" style="1552"/>
    <col min="23" max="23" width="10.5703125" style="591"/>
  </cols>
  <sheetData>
    <row r="1" spans="1:23" s="1284" customFormat="1" ht="15" hidden="1" customHeight="1">
      <c r="C1" s="588"/>
      <c r="G1" s="347">
        <v>4</v>
      </c>
      <c r="I1" s="347">
        <v>4</v>
      </c>
      <c r="K1" s="1284">
        <v>4</v>
      </c>
      <c r="W1" s="349"/>
    </row>
    <row r="2" spans="1:23" s="1552" customFormat="1" ht="15" hidden="1" customHeight="1">
      <c r="A2" s="285"/>
      <c r="C2" s="94"/>
      <c r="D2" s="267"/>
      <c r="E2" s="589"/>
      <c r="F2" s="448"/>
      <c r="G2" s="533"/>
      <c r="H2" s="533"/>
      <c r="I2" s="533"/>
      <c r="J2" s="533"/>
      <c r="K2" s="533"/>
      <c r="L2" s="533"/>
      <c r="W2" s="590"/>
    </row>
    <row r="3" spans="1:23" s="1284" customFormat="1" ht="15" hidden="1" customHeight="1">
      <c r="C3" s="588"/>
      <c r="W3" s="349"/>
    </row>
    <row r="4" spans="1:23" ht="15" customHeight="1">
      <c r="C4" s="94"/>
      <c r="D4" s="435"/>
      <c r="E4" s="435"/>
      <c r="F4" s="435"/>
      <c r="G4" s="435"/>
      <c r="H4" s="435"/>
      <c r="I4" s="435"/>
      <c r="J4" s="435"/>
    </row>
    <row r="5" spans="1:23" ht="63" customHeight="1">
      <c r="C5" s="94"/>
      <c r="D5" s="1867" t="s">
        <v>1613</v>
      </c>
      <c r="E5" s="1868"/>
      <c r="F5" s="1868"/>
      <c r="G5" s="1868"/>
      <c r="H5" s="1868"/>
      <c r="I5" s="1868"/>
      <c r="J5" s="1869"/>
      <c r="K5" s="1795"/>
      <c r="L5" s="1795"/>
    </row>
    <row r="6" spans="1:23" ht="15" customHeight="1">
      <c r="C6" s="94"/>
      <c r="D6" s="1974" t="str">
        <f>IF(org=0,"Не определено",org)</f>
        <v>АО СЗ "КМАпроектжилстрой"</v>
      </c>
      <c r="E6" s="1975"/>
      <c r="F6" s="1975"/>
      <c r="G6" s="1975"/>
      <c r="H6" s="1975"/>
      <c r="I6" s="1975"/>
      <c r="J6" s="1976"/>
      <c r="K6" s="1796"/>
      <c r="L6" s="1796"/>
      <c r="M6" s="462"/>
    </row>
    <row r="7" spans="1:23" ht="15" customHeight="1">
      <c r="C7" s="94"/>
      <c r="D7" s="666"/>
      <c r="E7" s="435"/>
      <c r="F7" s="435"/>
      <c r="G7" s="462">
        <v>22</v>
      </c>
      <c r="I7" s="462">
        <v>1</v>
      </c>
      <c r="J7" s="666"/>
      <c r="K7" s="1284" t="s">
        <v>18</v>
      </c>
    </row>
    <row r="8" spans="1:23" s="1552" customFormat="1" ht="0.75" customHeight="1">
      <c r="A8" s="673"/>
      <c r="C8" s="94"/>
      <c r="D8" s="435"/>
      <c r="E8" s="435"/>
      <c r="F8" s="435"/>
      <c r="G8" s="462"/>
      <c r="H8" s="666"/>
      <c r="I8" s="462" t="s">
        <v>118</v>
      </c>
      <c r="J8" s="666"/>
      <c r="K8" s="1284" t="s">
        <v>123</v>
      </c>
      <c r="L8" s="666"/>
      <c r="M8" s="347"/>
      <c r="W8" s="591"/>
    </row>
    <row r="9" spans="1:23" ht="15" customHeight="1">
      <c r="C9" s="94"/>
      <c r="D9" s="626"/>
      <c r="E9" s="2164" t="s">
        <v>105</v>
      </c>
      <c r="F9" s="2165"/>
      <c r="G9" s="2162" t="str">
        <f>IF(G8="","",INDEX(DIFFERENTIATION_UNMERGE_VD,MATCH(G8,DIFFERENTIATION_ID_DIFF,0)))</f>
        <v/>
      </c>
      <c r="H9" s="2163"/>
      <c r="I9" s="2162" t="str">
        <f>IF(I8="","",INDEX(DIFFERENTIATION_UNMERGE_VD,MATCH(I8,DIFFERENTIATION_ID_DIFF,0)))</f>
        <v>Холодное водоснабжение. Питьевая вода; Транспортировка. Питьевая вода; Подключение (технологическое присоединение) к централизованной системе водоснабжения</v>
      </c>
      <c r="J9" s="2163"/>
      <c r="K9" s="2162" t="str">
        <f>IF(K8="","",INDEX(DIFFERENTIATION_UNMERGE_VD,MATCH(K8,DIFFERENTIATION_ID_DIFF,0)))</f>
        <v>Холодное водоснабжение. Питьевая вода; Транспортировка. Питьевая вода; Подключение (технологическое присоединение) к централизованной системе водоснабжения</v>
      </c>
      <c r="L9" s="2163"/>
      <c r="M9" s="1928" t="s">
        <v>292</v>
      </c>
    </row>
    <row r="10" spans="1:23" s="1552" customFormat="1" ht="15" customHeight="1">
      <c r="A10" s="673"/>
      <c r="C10" s="94"/>
      <c r="D10" s="626"/>
      <c r="E10" s="2164" t="s">
        <v>416</v>
      </c>
      <c r="F10" s="2165"/>
      <c r="G10" s="2162" t="str">
        <f>IF(G8="","",INDEX(DIFFERENTIATION_UNMERGE_AREA,MATCH(G8,DIFFERENTIATION_ID_DIFF,0)))</f>
        <v/>
      </c>
      <c r="H10" s="2163"/>
      <c r="I10" s="2162" t="str">
        <f>IF(I8="","",INDEX(DIFFERENTIATION_UNMERGE_AREA,MATCH(I8,DIFFERENTIATION_ID_DIFF,0)))</f>
        <v>без дифференциации</v>
      </c>
      <c r="J10" s="2163"/>
      <c r="K10" s="2162" t="str">
        <f>IF(K8="","",INDEX(DIFFERENTIATION_UNMERGE_AREA,MATCH(K8,DIFFERENTIATION_ID_DIFF,0)))</f>
        <v>без дифференциации</v>
      </c>
      <c r="L10" s="2163"/>
      <c r="M10" s="1933"/>
      <c r="W10" s="591"/>
    </row>
    <row r="11" spans="1:23" s="1552" customFormat="1" ht="15" customHeight="1">
      <c r="A11" s="673"/>
      <c r="C11" s="94"/>
      <c r="D11" s="626"/>
      <c r="E11" s="2164" t="s">
        <v>417</v>
      </c>
      <c r="F11" s="2165"/>
      <c r="G11" s="2162" t="str">
        <f>IF(G8="","",INDEX(DIFFERENTIATION_UNMERGE_SYSTEM,MATCH(G8,DIFFERENTIATION_ID_DIFF,0)))</f>
        <v/>
      </c>
      <c r="H11" s="2163"/>
      <c r="I11" s="2162" t="str">
        <f>IF(I8="","",INDEX(DIFFERENTIATION_UNMERGE_SYSTEM,MATCH(I8,DIFFERENTIATION_ID_DIFF,0)))</f>
        <v>Тереховский водозабор</v>
      </c>
      <c r="J11" s="2163"/>
      <c r="K11" s="2162" t="str">
        <f>IF(K8="","",INDEX(DIFFERENTIATION_UNMERGE_SYSTEM,MATCH(K8,DIFFERENTIATION_ID_DIFF,0)))</f>
        <v>Площадка цем/завода</v>
      </c>
      <c r="L11" s="2163"/>
      <c r="M11" s="1933"/>
      <c r="W11" s="591"/>
    </row>
    <row r="12" spans="1:23" s="1552" customFormat="1" ht="15" customHeight="1">
      <c r="A12" s="673"/>
      <c r="C12" s="94"/>
      <c r="D12" s="2166" t="s">
        <v>291</v>
      </c>
      <c r="E12" s="2167"/>
      <c r="F12" s="2167"/>
      <c r="G12" s="801"/>
      <c r="H12" s="801"/>
      <c r="I12" s="801"/>
      <c r="J12" s="801"/>
      <c r="K12" s="1801"/>
      <c r="L12" s="1801"/>
      <c r="M12" s="1933"/>
      <c r="W12" s="591"/>
    </row>
    <row r="13" spans="1:23" ht="33.75" customHeight="1">
      <c r="C13" s="94"/>
      <c r="D13" s="718" t="s">
        <v>88</v>
      </c>
      <c r="E13" s="720" t="s">
        <v>293</v>
      </c>
      <c r="F13" s="720" t="s">
        <v>1614</v>
      </c>
      <c r="G13" s="721" t="s">
        <v>294</v>
      </c>
      <c r="H13" s="720" t="s">
        <v>383</v>
      </c>
      <c r="I13" s="721" t="s">
        <v>294</v>
      </c>
      <c r="J13" s="720" t="s">
        <v>383</v>
      </c>
      <c r="K13" s="1783" t="s">
        <v>294</v>
      </c>
      <c r="L13" s="1791" t="s">
        <v>383</v>
      </c>
      <c r="M13" s="1984"/>
    </row>
    <row r="14" spans="1:23" ht="15" hidden="1" customHeight="1">
      <c r="C14" s="94"/>
      <c r="D14" s="512" t="s">
        <v>109</v>
      </c>
      <c r="E14" s="512" t="s">
        <v>110</v>
      </c>
      <c r="F14" s="512" t="s">
        <v>90</v>
      </c>
      <c r="G14" s="575" t="str">
        <f>G1&amp;".1"</f>
        <v>4.1</v>
      </c>
      <c r="H14" s="575"/>
      <c r="I14" s="575" t="str">
        <f>I1&amp;".1"</f>
        <v>4.1</v>
      </c>
      <c r="J14" s="575"/>
      <c r="K14" s="599" t="str">
        <f>K1&amp;".1"</f>
        <v>4.1</v>
      </c>
      <c r="L14" s="599"/>
      <c r="M14" s="204"/>
    </row>
    <row r="15" spans="1:23" ht="22.5" hidden="1" customHeight="1">
      <c r="A15" s="431"/>
      <c r="C15" s="452"/>
      <c r="D15" s="447">
        <v>1</v>
      </c>
      <c r="E15" s="593" t="s">
        <v>1615</v>
      </c>
      <c r="F15" s="447" t="s">
        <v>1616</v>
      </c>
      <c r="G15" s="594"/>
      <c r="H15" s="594"/>
      <c r="I15" s="594"/>
      <c r="J15" s="594"/>
      <c r="K15" s="594"/>
      <c r="L15" s="594"/>
      <c r="M15" s="204" t="s">
        <v>1617</v>
      </c>
    </row>
    <row r="16" spans="1:23" ht="22.5" hidden="1" customHeight="1">
      <c r="A16" s="431"/>
      <c r="C16" s="452"/>
      <c r="D16" s="447">
        <v>2</v>
      </c>
      <c r="E16" s="195" t="s">
        <v>1618</v>
      </c>
      <c r="F16" s="447" t="s">
        <v>1619</v>
      </c>
      <c r="G16" s="594"/>
      <c r="H16" s="594"/>
      <c r="I16" s="594"/>
      <c r="J16" s="594"/>
      <c r="K16" s="594"/>
      <c r="L16" s="594"/>
      <c r="M16" s="204" t="s">
        <v>1620</v>
      </c>
    </row>
    <row r="17" spans="1:13" ht="123.75" hidden="1" customHeight="1">
      <c r="A17" s="431"/>
      <c r="C17" s="452"/>
      <c r="D17" s="447">
        <v>3</v>
      </c>
      <c r="E17" s="195" t="s">
        <v>1621</v>
      </c>
      <c r="F17" s="447" t="s">
        <v>297</v>
      </c>
      <c r="G17" s="594"/>
      <c r="H17" s="594"/>
      <c r="I17" s="594"/>
      <c r="J17" s="594"/>
      <c r="K17" s="594"/>
      <c r="L17" s="594"/>
      <c r="M17" s="204" t="s">
        <v>1622</v>
      </c>
    </row>
    <row r="18" spans="1:13" ht="45" customHeight="1">
      <c r="A18" s="431"/>
      <c r="C18" s="452"/>
      <c r="D18" s="447">
        <v>4</v>
      </c>
      <c r="E18" s="195" t="s">
        <v>1623</v>
      </c>
      <c r="F18" s="447" t="s">
        <v>297</v>
      </c>
      <c r="G18" s="722" t="s">
        <v>297</v>
      </c>
      <c r="H18" s="723" t="s">
        <v>297</v>
      </c>
      <c r="I18" s="447" t="s">
        <v>297</v>
      </c>
      <c r="J18" s="499" t="s">
        <v>297</v>
      </c>
      <c r="K18" s="1791" t="s">
        <v>297</v>
      </c>
      <c r="L18" s="1789" t="s">
        <v>297</v>
      </c>
      <c r="M18" s="204" t="s">
        <v>1624</v>
      </c>
    </row>
    <row r="19" spans="1:13" ht="33.75" customHeight="1">
      <c r="A19" s="431"/>
      <c r="C19" s="452"/>
      <c r="D19" s="464" t="s">
        <v>1464</v>
      </c>
      <c r="E19" s="481" t="s">
        <v>1625</v>
      </c>
      <c r="F19" s="447" t="s">
        <v>1626</v>
      </c>
      <c r="G19" s="730"/>
      <c r="H19" s="33"/>
      <c r="I19" s="730"/>
      <c r="J19" s="731"/>
      <c r="K19" s="730"/>
      <c r="L19" s="1792"/>
      <c r="M19" s="595"/>
    </row>
    <row r="20" spans="1:13" ht="33.75" customHeight="1">
      <c r="A20" s="431"/>
      <c r="C20" s="452"/>
      <c r="D20" s="464" t="s">
        <v>1481</v>
      </c>
      <c r="E20" s="481" t="s">
        <v>1627</v>
      </c>
      <c r="F20" s="447" t="s">
        <v>1628</v>
      </c>
      <c r="G20" s="730"/>
      <c r="H20" s="33"/>
      <c r="I20" s="730"/>
      <c r="J20" s="33"/>
      <c r="K20" s="730"/>
      <c r="L20" s="1792"/>
      <c r="M20" s="595"/>
    </row>
    <row r="21" spans="1:13" ht="45" customHeight="1">
      <c r="A21" s="431"/>
      <c r="C21" s="452"/>
      <c r="D21" s="464" t="s">
        <v>1629</v>
      </c>
      <c r="E21" s="481" t="s">
        <v>1630</v>
      </c>
      <c r="F21" s="447" t="s">
        <v>1243</v>
      </c>
      <c r="G21" s="596"/>
      <c r="H21" s="33"/>
      <c r="I21" s="596"/>
      <c r="J21" s="33"/>
      <c r="K21" s="596"/>
      <c r="L21" s="1792"/>
      <c r="M21" s="595"/>
    </row>
    <row r="22" spans="1:13" ht="67.5" hidden="1" customHeight="1">
      <c r="A22" s="431"/>
      <c r="C22" s="452"/>
      <c r="D22" s="447">
        <v>5</v>
      </c>
      <c r="E22" s="195" t="s">
        <v>1631</v>
      </c>
      <c r="F22" s="447" t="s">
        <v>1632</v>
      </c>
      <c r="G22" s="597"/>
      <c r="H22" s="598"/>
      <c r="I22" s="597"/>
      <c r="J22" s="598"/>
      <c r="K22" s="597"/>
      <c r="L22" s="1356"/>
      <c r="M22" s="204" t="s">
        <v>1633</v>
      </c>
    </row>
    <row r="23" spans="1:13" ht="33.75" hidden="1" customHeight="1">
      <c r="C23" s="378"/>
      <c r="D23" s="447">
        <v>6</v>
      </c>
      <c r="E23" s="195" t="s">
        <v>1634</v>
      </c>
      <c r="F23" s="447" t="s">
        <v>1635</v>
      </c>
      <c r="G23" s="597"/>
      <c r="H23" s="597"/>
      <c r="I23" s="597"/>
      <c r="J23" s="597"/>
      <c r="K23" s="597"/>
      <c r="L23" s="597"/>
      <c r="M23" s="204" t="s">
        <v>1636</v>
      </c>
    </row>
    <row r="29" spans="1:13" ht="15" customHeight="1">
      <c r="J29" s="732"/>
    </row>
  </sheetData>
  <sheetProtection formatColumns="0" formatRows="0" insertRows="0" deleteColumns="0" deleteRows="0" sort="0" autoFilter="0"/>
  <mergeCells count="16">
    <mergeCell ref="D5:J5"/>
    <mergeCell ref="D6:J6"/>
    <mergeCell ref="M9:M13"/>
    <mergeCell ref="I9:J9"/>
    <mergeCell ref="E9:F9"/>
    <mergeCell ref="E10:F10"/>
    <mergeCell ref="E11:F11"/>
    <mergeCell ref="I10:J10"/>
    <mergeCell ref="I11:J11"/>
    <mergeCell ref="G9:H9"/>
    <mergeCell ref="G10:H10"/>
    <mergeCell ref="G11:H11"/>
    <mergeCell ref="D12:F12"/>
    <mergeCell ref="K9:L9"/>
    <mergeCell ref="K10:L10"/>
    <mergeCell ref="K11:L11"/>
  </mergeCells>
  <dataValidations count="4">
    <dataValidation type="decimal" allowBlank="1" showErrorMessage="1" errorTitle="Ошибка" error="Допускается ввод только неотрицательных чисел!" sqref="G21 I21 K21">
      <formula1>0</formula1>
      <formula2>9.99999999999999E+23</formula2>
    </dataValidation>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15 E13"/>
    <dataValidation type="whole" allowBlank="1" showErrorMessage="1" errorTitle="Ошибка" error="Допускается ввод только неотрицательных целых чисел!" sqref="G19:G20 I19:I20 K19 K20">
      <formula1>0</formula1>
      <formula2>9.99999999999999E+23</formula2>
    </dataValidation>
    <dataValidation type="textLength" operator="lessThanOrEqual" allowBlank="1" showInputMessage="1" showErrorMessage="1" errorTitle="Ошибка" error="Допускается ввод не более 900 символов!" sqref="H19:H21 J19:J21 L19:L21">
      <formula1>900</formula1>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S22"/>
  <sheetViews>
    <sheetView showGridLines="0" topLeftCell="C4" zoomScale="90" workbookViewId="0">
      <selection activeCell="I29" sqref="I29"/>
    </sheetView>
  </sheetViews>
  <sheetFormatPr defaultColWidth="10.5703125" defaultRowHeight="15" customHeight="1"/>
  <cols>
    <col min="1" max="1" width="9.140625" style="1549" hidden="1" customWidth="1"/>
    <col min="2" max="2" width="9.140625" style="1552" hidden="1" customWidth="1"/>
    <col min="3" max="3" width="4.7109375" style="599" customWidth="1"/>
    <col min="4" max="4" width="6.28515625" style="1552" customWidth="1"/>
    <col min="5" max="5" width="36.7109375" style="1552" customWidth="1"/>
    <col min="6" max="6" width="9.5703125" style="1552" customWidth="1"/>
    <col min="7" max="7" width="42.42578125" style="1552" hidden="1" customWidth="1"/>
    <col min="8" max="8" width="40.7109375" style="1552" customWidth="1"/>
    <col min="9" max="9" width="42.42578125" style="1552" customWidth="1"/>
    <col min="10" max="10" width="93.42578125" style="1284" customWidth="1"/>
    <col min="11" max="18" width="10.5703125" style="1552"/>
    <col min="19" max="19" width="10.5703125" style="591"/>
  </cols>
  <sheetData>
    <row r="1" spans="1:19" s="1284" customFormat="1" ht="15" hidden="1" customHeight="1">
      <c r="C1" s="588"/>
      <c r="H1" s="347">
        <v>4</v>
      </c>
      <c r="S1" s="349"/>
    </row>
    <row r="2" spans="1:19" ht="22.5" hidden="1" customHeight="1">
      <c r="D2" s="464"/>
      <c r="E2" s="579"/>
      <c r="F2" s="1677" t="str">
        <f>IF(TEMPLATE_SPHERE="HEAT","Гкал/час","тыс. куб. м/сутки")</f>
        <v>тыс. куб. м/сутки</v>
      </c>
      <c r="G2" s="596"/>
      <c r="H2" s="596"/>
      <c r="I2" s="596"/>
      <c r="J2" s="204"/>
    </row>
    <row r="3" spans="1:19" s="1284" customFormat="1" ht="15" hidden="1" customHeight="1">
      <c r="C3" s="588"/>
      <c r="S3" s="349"/>
    </row>
    <row r="4" spans="1:19" ht="15" customHeight="1">
      <c r="C4" s="94"/>
      <c r="D4" s="435"/>
      <c r="E4" s="435"/>
      <c r="F4" s="435"/>
      <c r="G4" s="435"/>
      <c r="H4" s="435"/>
    </row>
    <row r="5" spans="1:19" ht="47.25" customHeight="1">
      <c r="C5" s="94"/>
      <c r="D5" s="2101" t="str">
        <f>TP_NAME_FORM</f>
        <v>Форма 10. Информация о наличии (об отсутствии) технической возможности подключения (технологического присоединения) к централизованной системе  холодного водоснабжения,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холодного водоснабжения</v>
      </c>
      <c r="E5" s="2101"/>
      <c r="F5" s="2101"/>
      <c r="G5" s="2101"/>
      <c r="H5" s="2101"/>
      <c r="I5" s="1802"/>
      <c r="J5" s="462"/>
    </row>
    <row r="6" spans="1:19" ht="15" customHeight="1">
      <c r="C6" s="94"/>
      <c r="D6" s="1961" t="str">
        <f>IF(org=0,"Не определено",org)</f>
        <v>АО СЗ "КМАпроектжилстрой"</v>
      </c>
      <c r="E6" s="1961"/>
      <c r="F6" s="1961"/>
      <c r="G6" s="1961"/>
      <c r="H6" s="1961"/>
      <c r="I6" s="1797"/>
      <c r="J6" s="462"/>
    </row>
    <row r="7" spans="1:19" s="1552" customFormat="1" ht="15" customHeight="1">
      <c r="A7" s="673"/>
      <c r="C7" s="94"/>
      <c r="D7" s="592"/>
      <c r="E7" s="592"/>
      <c r="F7" s="592"/>
      <c r="G7" s="592"/>
      <c r="H7" s="666"/>
      <c r="I7" s="1806" t="s">
        <v>18</v>
      </c>
      <c r="J7" s="462"/>
      <c r="S7" s="591"/>
    </row>
    <row r="8" spans="1:19" ht="0.75" customHeight="1">
      <c r="C8" s="94"/>
      <c r="D8" s="435"/>
      <c r="E8" s="435"/>
      <c r="F8" s="435"/>
      <c r="G8" s="435"/>
      <c r="H8" s="462" t="s">
        <v>118</v>
      </c>
      <c r="I8" s="1552" t="s">
        <v>123</v>
      </c>
    </row>
    <row r="9" spans="1:19" ht="15" customHeight="1">
      <c r="C9" s="94"/>
      <c r="D9" s="626"/>
      <c r="E9" s="2164" t="s">
        <v>105</v>
      </c>
      <c r="F9" s="2165"/>
      <c r="G9" s="729" t="str">
        <f>IF(G8="","",INDEX(DIFFERENTIATION_UNMERGE_VD,MATCH(G8,DIFFERENTIATION_ID_DIFF,0)))</f>
        <v/>
      </c>
      <c r="H9" s="729" t="str">
        <f>IF(H8="","",INDEX(DIFFERENTIATION_UNMERGE_VD,MATCH(H8,DIFFERENTIATION_ID_DIFF,0)))</f>
        <v>Холодное водоснабжение. Питьевая вода; Транспортировка. Питьевая вода; Подключение (технологическое присоединение) к централизованной системе водоснабжения</v>
      </c>
      <c r="I9" s="1800" t="str">
        <f>IF(I8="","",INDEX(DIFFERENTIATION_UNMERGE_VD,MATCH(I8,DIFFERENTIATION_ID_DIFF,0)))</f>
        <v>Холодное водоснабжение. Питьевая вода; Транспортировка. Питьевая вода; Подключение (технологическое присоединение) к централизованной системе водоснабжения</v>
      </c>
      <c r="J9" s="1874" t="s">
        <v>292</v>
      </c>
    </row>
    <row r="10" spans="1:19" s="1552" customFormat="1" ht="15" customHeight="1">
      <c r="A10" s="673"/>
      <c r="C10" s="94"/>
      <c r="D10" s="626"/>
      <c r="E10" s="2164" t="s">
        <v>416</v>
      </c>
      <c r="F10" s="2165"/>
      <c r="G10" s="729" t="str">
        <f>IF(G8="","",INDEX(DIFFERENTIATION_UNMERGE_AREA,MATCH(G8,DIFFERENTIATION_ID_DIFF,0)))</f>
        <v/>
      </c>
      <c r="H10" s="729" t="str">
        <f>IF(H8="","",INDEX(DIFFERENTIATION_UNMERGE_AREA,MATCH(H8,DIFFERENTIATION_ID_DIFF,0)))</f>
        <v>без дифференциации</v>
      </c>
      <c r="I10" s="1800" t="str">
        <f>IF(I8="","",INDEX(DIFFERENTIATION_UNMERGE_AREA,MATCH(I8,DIFFERENTIATION_ID_DIFF,0)))</f>
        <v>без дифференциации</v>
      </c>
      <c r="J10" s="1874"/>
      <c r="S10" s="591"/>
    </row>
    <row r="11" spans="1:19" s="1552" customFormat="1" ht="15" customHeight="1">
      <c r="A11" s="673"/>
      <c r="C11" s="94"/>
      <c r="D11" s="626"/>
      <c r="E11" s="2164" t="s">
        <v>417</v>
      </c>
      <c r="F11" s="2165"/>
      <c r="G11" s="729" t="str">
        <f>IF(G8="","",INDEX(DIFFERENTIATION_UNMERGE_SYSTEM,MATCH(G8,DIFFERENTIATION_ID_DIFF,0)))</f>
        <v/>
      </c>
      <c r="H11" s="729" t="str">
        <f>IF(H8="","",INDEX(DIFFERENTIATION_UNMERGE_SYSTEM,MATCH(H8,DIFFERENTIATION_ID_DIFF,0)))</f>
        <v>Тереховский водозабор</v>
      </c>
      <c r="I11" s="1800" t="str">
        <f>IF(I8="","",INDEX(DIFFERENTIATION_UNMERGE_SYSTEM,MATCH(I8,DIFFERENTIATION_ID_DIFF,0)))</f>
        <v>Площадка цем/завода</v>
      </c>
      <c r="J11" s="1874"/>
      <c r="S11" s="591"/>
    </row>
    <row r="12" spans="1:19" s="1552" customFormat="1" ht="15" customHeight="1">
      <c r="A12" s="673"/>
      <c r="C12" s="94"/>
      <c r="D12" s="2166" t="s">
        <v>291</v>
      </c>
      <c r="E12" s="2167"/>
      <c r="F12" s="2167"/>
      <c r="G12" s="801"/>
      <c r="H12" s="801"/>
      <c r="I12" s="1801"/>
      <c r="J12" s="1874"/>
      <c r="S12" s="591"/>
    </row>
    <row r="13" spans="1:19" ht="33.75" customHeight="1">
      <c r="C13" s="94"/>
      <c r="D13" s="675" t="s">
        <v>88</v>
      </c>
      <c r="E13" s="674" t="s">
        <v>293</v>
      </c>
      <c r="F13" s="674" t="s">
        <v>1614</v>
      </c>
      <c r="G13" s="721" t="s">
        <v>294</v>
      </c>
      <c r="H13" s="668" t="s">
        <v>294</v>
      </c>
      <c r="I13" s="1783" t="s">
        <v>294</v>
      </c>
      <c r="J13" s="1874"/>
    </row>
    <row r="14" spans="1:19" ht="15" hidden="1" customHeight="1">
      <c r="C14" s="94"/>
      <c r="D14" s="512" t="s">
        <v>109</v>
      </c>
      <c r="E14" s="512" t="s">
        <v>110</v>
      </c>
      <c r="F14" s="512" t="s">
        <v>90</v>
      </c>
      <c r="G14" s="575" t="str">
        <f>G1&amp;".1"</f>
        <v>.1</v>
      </c>
      <c r="H14" s="575" t="str">
        <f>H1&amp;".1"</f>
        <v>4.1</v>
      </c>
      <c r="I14" s="599" t="str">
        <f>I1&amp;".1"</f>
        <v>.1</v>
      </c>
      <c r="J14" s="204"/>
    </row>
    <row r="15" spans="1:19" ht="43.35" customHeight="1">
      <c r="A15" s="431"/>
      <c r="C15" s="452"/>
      <c r="D15" s="447">
        <v>1</v>
      </c>
      <c r="E15" s="593" t="str">
        <f>TP_P_A</f>
        <v xml:space="preserve">Количество поданных заявлений </v>
      </c>
      <c r="F15" s="447" t="s">
        <v>1637</v>
      </c>
      <c r="G15" s="601"/>
      <c r="H15" s="601">
        <v>0</v>
      </c>
      <c r="I15" s="601">
        <v>0</v>
      </c>
      <c r="J15" s="125" t="str">
        <f>TP_P_NOTE_A</f>
        <v>Указывается количество поданных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row>
    <row r="16" spans="1:19" ht="15" customHeight="1">
      <c r="A16" s="431"/>
      <c r="C16" s="452"/>
      <c r="D16" s="447">
        <v>2</v>
      </c>
      <c r="E16" s="195" t="str">
        <f>TP_P_B</f>
        <v xml:space="preserve">Количество исполненных заявлений </v>
      </c>
      <c r="F16" s="447" t="s">
        <v>1637</v>
      </c>
      <c r="G16" s="601"/>
      <c r="H16" s="601">
        <v>0</v>
      </c>
      <c r="I16" s="601">
        <v>0</v>
      </c>
      <c r="J16" s="125" t="str">
        <f>TP_P_NOTE_B</f>
        <v>Указывается количество исполненных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row>
    <row r="17" spans="1:19" ht="57.6" customHeight="1">
      <c r="A17" s="431"/>
      <c r="C17" s="452"/>
      <c r="D17" s="447">
        <v>3</v>
      </c>
      <c r="E17" s="195" t="str">
        <f>TP_P_V</f>
        <v>Количество заявлений о заключении договоров о подключении (технологическом присоединении)</v>
      </c>
      <c r="F17" s="447" t="s">
        <v>1637</v>
      </c>
      <c r="G17" s="601"/>
      <c r="H17" s="601">
        <v>0</v>
      </c>
      <c r="I17" s="601">
        <v>0</v>
      </c>
      <c r="J17" s="125" t="str">
        <f>TP_P_NOTE_V</f>
        <v>Указывается количество заявлений о заключении договоров о подключении (технологическом присоединении) к централизованной системе холодного водоснабжения, по которым организацией холодного водоснабжения отказано в заключении договора о подключении (технологическом присоединении) к централизованной системе холодного водоснабжения с указанием причин, в течение одного квартала.</v>
      </c>
    </row>
    <row r="18" spans="1:19" ht="54.2" customHeight="1">
      <c r="A18" s="431"/>
      <c r="C18" s="452"/>
      <c r="D18" s="447">
        <v>4</v>
      </c>
      <c r="E18" s="195" t="str">
        <f>TP_P_V_1</f>
        <v>Причины отказа в заключении договора о подключении (технологическом присоединении) к централизованной системе холодного водоснабжения</v>
      </c>
      <c r="F18" s="447" t="s">
        <v>297</v>
      </c>
      <c r="G18" s="602"/>
      <c r="H18" s="602"/>
      <c r="I18" s="1804"/>
      <c r="J18" s="751" t="str">
        <f>TP_P_NOTE_V_1</f>
        <v>Указывается текстовое описание причин принятия решений._x000D_
Не заполняется в случае, если решения об отказе в течение отчетного периода не принимались.</v>
      </c>
    </row>
    <row r="19" spans="1:19" ht="63.4" customHeight="1">
      <c r="A19" s="431"/>
      <c r="C19" s="452"/>
      <c r="D19" s="447">
        <v>5</v>
      </c>
      <c r="E19" s="195" t="str">
        <f>TP_P_G</f>
        <v>Наличие свободной мощности (резерва мощности) на соответствующих объектах централизованных систем холодного водоснабжения в течение одного квартала, в том числе:</v>
      </c>
      <c r="F19" s="447" t="str">
        <f>IF(TEMPLATE_SPHERE="HEAT","Гкал/час","тыс. куб. м/сутки")</f>
        <v>тыс. куб. м/сутки</v>
      </c>
      <c r="G19" s="603">
        <f>SUM(G20:G22)</f>
        <v>0</v>
      </c>
      <c r="H19" s="603">
        <f>SUM(H20:H22)</f>
        <v>4.008</v>
      </c>
      <c r="I19" s="603">
        <f>SUM(I20:I22)</f>
        <v>1.3819999999999999</v>
      </c>
      <c r="J19" s="125" t="str">
        <f>TP_P_NOTE_G</f>
        <v>Указывается наличие свободной мощности (резерв мощности) на соответствующих объектах централизованной системы холодного водоснабжения (совокупности централизованных систем холодного водоснабжения) в случае, если для них установлены одинаковые тарифы в сфере холодного водоснабжения.
В случае если регулируемыми организациями оказываются услуги холодного водоснабжения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row>
    <row r="20" spans="1:19" ht="15" hidden="1" customHeight="1">
      <c r="D20" s="435" t="s">
        <v>1638</v>
      </c>
      <c r="E20" s="604"/>
      <c r="F20" s="435"/>
      <c r="G20" s="435"/>
      <c r="H20" s="435"/>
      <c r="J20" s="1679"/>
    </row>
    <row r="21" spans="1:19" ht="36.6" customHeight="1">
      <c r="C21" s="378"/>
      <c r="D21" s="464" t="s">
        <v>306</v>
      </c>
      <c r="E21" s="586" t="s">
        <v>1639</v>
      </c>
      <c r="F21" s="1677" t="str">
        <f>IF(TEMPLATE_SPHERE="HEAT","Гкал/час","тыс. куб. м/сутки")</f>
        <v>тыс. куб. м/сутки</v>
      </c>
      <c r="G21" s="596"/>
      <c r="H21" s="596">
        <v>4.008</v>
      </c>
      <c r="I21" s="596">
        <v>1.3819999999999999</v>
      </c>
      <c r="J21" s="1918" t="str">
        <f>TP_P_NOTE_G_1</f>
        <v>Указывается наличие свободной мощности (резерв мощности) для централизованной системы холодного водоснабжения, тариф для которой не является отличным от тарифов других централизованных систем холодного водоснабжения регулируемой организации.
При использовании регулируемой организацией нескольких централизованных систем холодного водоснабжения информация о наличии свободной мощности (резерве мощности) на соответствующих объектах централизованных систем холодного водоснабжения публикуется в отношении каждой централизованной системы холодного водоснабжения в отдельных строках.</v>
      </c>
    </row>
    <row r="22" spans="1:19" ht="15" customHeight="1">
      <c r="A22" s="431"/>
      <c r="C22" s="431"/>
      <c r="D22" s="268"/>
      <c r="E22" s="501" t="s">
        <v>1640</v>
      </c>
      <c r="F22" s="493"/>
      <c r="G22" s="493"/>
      <c r="H22" s="493"/>
      <c r="I22" s="1810"/>
      <c r="J22" s="1920"/>
      <c r="S22" s="431"/>
    </row>
  </sheetData>
  <sheetProtection formatColumns="0" formatRows="0" insertRows="0" deleteColumns="0" deleteRows="0" sort="0" autoFilter="0"/>
  <mergeCells count="8">
    <mergeCell ref="J21:J22"/>
    <mergeCell ref="J9:J13"/>
    <mergeCell ref="D5:H5"/>
    <mergeCell ref="D6:H6"/>
    <mergeCell ref="E9:F9"/>
    <mergeCell ref="E10:F10"/>
    <mergeCell ref="E11:F11"/>
    <mergeCell ref="D12:F12"/>
  </mergeCells>
  <dataValidations count="4">
    <dataValidation type="whole" allowBlank="1" showErrorMessage="1" errorTitle="Ошибка" error="Допускается ввод только неотрицательных целых чисел!" sqref="G15:I17">
      <formula1>0</formula1>
      <formula2>9.99999999999999E+23</formula2>
    </dataValidation>
    <dataValidation type="decimal" allowBlank="1" showErrorMessage="1" errorTitle="Ошибка" error="Допускается ввод только неотрицательных чисел!" sqref="G21:I21 G2:I2">
      <formula1>0</formula1>
      <formula2>9.99999999999999E+23</formula2>
    </dataValidation>
    <dataValidation type="textLength" operator="lessThanOrEqual" allowBlank="1" showInputMessage="1" showErrorMessage="1" errorTitle="Ошибка" error="Допускается ввод не более 900 символов!" sqref="E21 E2 G18:I18">
      <formula1>900</formula1>
    </dataValidation>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15 E13"/>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DDD9C4"/>
  </sheetPr>
  <dimension ref="A1:W39"/>
  <sheetViews>
    <sheetView showGridLines="0" topLeftCell="K25" zoomScale="90" workbookViewId="0">
      <selection activeCell="K25" sqref="K25"/>
    </sheetView>
  </sheetViews>
  <sheetFormatPr defaultColWidth="10.5703125" defaultRowHeight="15" customHeight="1"/>
  <cols>
    <col min="1" max="1" width="9.140625" style="1549" hidden="1" customWidth="1"/>
    <col min="2" max="2" width="9.140625" style="1552" hidden="1" customWidth="1"/>
    <col min="3" max="3" width="4.7109375" style="599" customWidth="1"/>
    <col min="4" max="4" width="6.28515625" style="1552" customWidth="1"/>
    <col min="5" max="5" width="36.7109375" style="1552" customWidth="1"/>
    <col min="6" max="6" width="9.5703125" style="1552" customWidth="1"/>
    <col min="7" max="7" width="25.7109375" style="1552" hidden="1" customWidth="1"/>
    <col min="8" max="8" width="33.7109375" style="1552" hidden="1" customWidth="1"/>
    <col min="9" max="9" width="25.7109375" style="1552" customWidth="1"/>
    <col min="10" max="10" width="33.7109375" style="1552" customWidth="1"/>
    <col min="11" max="11" width="25.7109375" style="1552" customWidth="1"/>
    <col min="12" max="12" width="33.7109375" style="1552" customWidth="1"/>
    <col min="13" max="13" width="93.42578125" style="1284" customWidth="1"/>
    <col min="14" max="22" width="10.5703125" style="1552"/>
    <col min="23" max="23" width="10.5703125" style="591"/>
  </cols>
  <sheetData>
    <row r="1" spans="1:23" s="1284" customFormat="1" ht="15" hidden="1" customHeight="1">
      <c r="C1" s="588"/>
      <c r="G1" s="347">
        <v>4</v>
      </c>
      <c r="I1" s="347">
        <v>4</v>
      </c>
      <c r="K1" s="1284">
        <v>4</v>
      </c>
      <c r="W1" s="349"/>
    </row>
    <row r="2" spans="1:23" s="1284" customFormat="1" ht="15" hidden="1" customHeight="1">
      <c r="C2" s="588"/>
      <c r="W2" s="349"/>
    </row>
    <row r="3" spans="1:23" ht="22.5" hidden="1" customHeight="1">
      <c r="A3" s="431"/>
      <c r="B3" s="2168"/>
      <c r="C3" s="2169"/>
      <c r="D3" s="605" t="str">
        <f>B3&amp;".1"</f>
        <v>.1</v>
      </c>
      <c r="E3" s="606" t="s">
        <v>1641</v>
      </c>
      <c r="F3" s="607" t="s">
        <v>297</v>
      </c>
      <c r="G3" s="602"/>
      <c r="H3" s="331"/>
      <c r="I3" s="602"/>
      <c r="J3" s="331"/>
      <c r="K3" s="1804"/>
      <c r="L3" s="731"/>
      <c r="M3" s="204" t="s">
        <v>1642</v>
      </c>
    </row>
    <row r="4" spans="1:23" ht="15" hidden="1" customHeight="1">
      <c r="A4" s="431"/>
      <c r="B4" s="2168"/>
      <c r="C4" s="2169"/>
      <c r="D4" s="605" t="str">
        <f>B3&amp;".2"</f>
        <v>.2</v>
      </c>
      <c r="E4" s="606" t="s">
        <v>1643</v>
      </c>
      <c r="F4" s="607" t="s">
        <v>297</v>
      </c>
      <c r="G4" s="1654" t="s">
        <v>18</v>
      </c>
      <c r="H4" s="331"/>
      <c r="I4" s="1654" t="s">
        <v>18</v>
      </c>
      <c r="J4" s="331"/>
      <c r="K4" s="1654" t="s">
        <v>18</v>
      </c>
      <c r="L4" s="731"/>
      <c r="M4" s="204" t="s">
        <v>1644</v>
      </c>
    </row>
    <row r="5" spans="1:23" s="1284" customFormat="1" ht="15" hidden="1" customHeight="1">
      <c r="C5" s="588"/>
      <c r="W5" s="349"/>
    </row>
    <row r="6" spans="1:23" ht="22.5" hidden="1" customHeight="1">
      <c r="A6" s="431"/>
      <c r="B6" s="2168"/>
      <c r="C6" s="2169"/>
      <c r="D6" s="605" t="str">
        <f>B6&amp;".1"</f>
        <v>.1</v>
      </c>
      <c r="E6" s="606" t="s">
        <v>1645</v>
      </c>
      <c r="F6" s="607" t="s">
        <v>297</v>
      </c>
      <c r="G6" s="602"/>
      <c r="H6" s="331"/>
      <c r="I6" s="602"/>
      <c r="J6" s="331"/>
      <c r="K6" s="1804"/>
      <c r="L6" s="731"/>
      <c r="M6" s="204" t="s">
        <v>1646</v>
      </c>
    </row>
    <row r="7" spans="1:23" ht="15" hidden="1" customHeight="1">
      <c r="A7" s="431"/>
      <c r="B7" s="2168"/>
      <c r="C7" s="2169"/>
      <c r="D7" s="605" t="str">
        <f>B6&amp;".2"</f>
        <v>.2</v>
      </c>
      <c r="E7" s="606" t="s">
        <v>1643</v>
      </c>
      <c r="F7" s="607" t="s">
        <v>297</v>
      </c>
      <c r="G7" s="1654" t="s">
        <v>18</v>
      </c>
      <c r="H7" s="331"/>
      <c r="I7" s="1654" t="s">
        <v>18</v>
      </c>
      <c r="J7" s="331"/>
      <c r="K7" s="1654" t="s">
        <v>18</v>
      </c>
      <c r="L7" s="731"/>
      <c r="M7" s="204" t="s">
        <v>1644</v>
      </c>
    </row>
    <row r="8" spans="1:23" s="1284" customFormat="1" ht="15" hidden="1" customHeight="1">
      <c r="C8" s="588"/>
      <c r="W8" s="349"/>
    </row>
    <row r="9" spans="1:23" ht="22.5" hidden="1" customHeight="1">
      <c r="A9" s="431"/>
      <c r="B9" s="2168"/>
      <c r="C9" s="2169"/>
      <c r="D9" s="605" t="str">
        <f>B9&amp;".1"</f>
        <v>.1</v>
      </c>
      <c r="E9" s="606" t="s">
        <v>1647</v>
      </c>
      <c r="F9" s="607" t="s">
        <v>297</v>
      </c>
      <c r="G9" s="613" t="s">
        <v>18</v>
      </c>
      <c r="H9" s="331" t="s">
        <v>18</v>
      </c>
      <c r="I9" s="613" t="s">
        <v>18</v>
      </c>
      <c r="J9" s="331" t="s">
        <v>18</v>
      </c>
      <c r="K9" s="774" t="s">
        <v>18</v>
      </c>
      <c r="L9" s="731" t="s">
        <v>18</v>
      </c>
      <c r="M9" s="204"/>
    </row>
    <row r="10" spans="1:23" ht="15" hidden="1" customHeight="1">
      <c r="A10" s="431"/>
      <c r="B10" s="2168"/>
      <c r="C10" s="2169"/>
      <c r="D10" s="605" t="str">
        <f>B9&amp;".2"</f>
        <v>.2</v>
      </c>
      <c r="E10" s="606" t="s">
        <v>1648</v>
      </c>
      <c r="F10" s="607" t="s">
        <v>297</v>
      </c>
      <c r="G10" s="1648" t="s">
        <v>18</v>
      </c>
      <c r="H10" s="331" t="s">
        <v>18</v>
      </c>
      <c r="I10" s="1648" t="s">
        <v>18</v>
      </c>
      <c r="J10" s="331" t="s">
        <v>18</v>
      </c>
      <c r="K10" s="1648" t="s">
        <v>18</v>
      </c>
      <c r="L10" s="731" t="s">
        <v>18</v>
      </c>
      <c r="M10" s="204" t="s">
        <v>1649</v>
      </c>
    </row>
    <row r="11" spans="1:23" ht="15" hidden="1" customHeight="1">
      <c r="A11" s="431"/>
      <c r="B11" s="2168"/>
      <c r="C11" s="2169"/>
      <c r="D11" s="605" t="str">
        <f>B9&amp;".3"</f>
        <v>.3</v>
      </c>
      <c r="E11" s="606" t="s">
        <v>1650</v>
      </c>
      <c r="F11" s="607" t="s">
        <v>297</v>
      </c>
      <c r="G11" s="1648" t="s">
        <v>18</v>
      </c>
      <c r="H11" s="331" t="s">
        <v>18</v>
      </c>
      <c r="I11" s="1648" t="s">
        <v>18</v>
      </c>
      <c r="J11" s="331" t="s">
        <v>18</v>
      </c>
      <c r="K11" s="1648" t="s">
        <v>18</v>
      </c>
      <c r="L11" s="731" t="s">
        <v>18</v>
      </c>
      <c r="M11" s="204" t="s">
        <v>1651</v>
      </c>
    </row>
    <row r="12" spans="1:23" s="1284" customFormat="1" ht="15" hidden="1" customHeight="1">
      <c r="C12" s="588"/>
      <c r="W12" s="349"/>
    </row>
    <row r="13" spans="1:23" ht="33.75" hidden="1" customHeight="1">
      <c r="A13" s="431"/>
      <c r="B13" s="2168"/>
      <c r="C13" s="2169"/>
      <c r="D13" s="605" t="str">
        <f>B13&amp;".1"</f>
        <v>.1</v>
      </c>
      <c r="E13" s="606" t="s">
        <v>1652</v>
      </c>
      <c r="F13" s="607" t="s">
        <v>297</v>
      </c>
      <c r="G13" s="613" t="s">
        <v>18</v>
      </c>
      <c r="H13" s="331" t="s">
        <v>18</v>
      </c>
      <c r="I13" s="613" t="s">
        <v>18</v>
      </c>
      <c r="J13" s="331" t="s">
        <v>18</v>
      </c>
      <c r="K13" s="774" t="s">
        <v>18</v>
      </c>
      <c r="L13" s="731" t="s">
        <v>18</v>
      </c>
      <c r="M13" s="204" t="s">
        <v>1653</v>
      </c>
    </row>
    <row r="14" spans="1:23" ht="15" hidden="1" customHeight="1">
      <c r="B14" s="2168"/>
      <c r="C14" s="2169"/>
      <c r="D14" s="605" t="str">
        <f>B13&amp;".2"</f>
        <v>.2</v>
      </c>
      <c r="E14" s="606" t="s">
        <v>1654</v>
      </c>
      <c r="F14" s="607" t="s">
        <v>297</v>
      </c>
      <c r="G14" s="1648" t="s">
        <v>18</v>
      </c>
      <c r="H14" s="331" t="s">
        <v>18</v>
      </c>
      <c r="I14" s="1648" t="s">
        <v>18</v>
      </c>
      <c r="J14" s="331" t="s">
        <v>18</v>
      </c>
      <c r="K14" s="1648" t="s">
        <v>18</v>
      </c>
      <c r="L14" s="731" t="s">
        <v>18</v>
      </c>
      <c r="M14" s="204" t="s">
        <v>1655</v>
      </c>
    </row>
    <row r="15" spans="1:23" s="1284" customFormat="1" ht="15" hidden="1" customHeight="1">
      <c r="C15" s="588"/>
      <c r="W15" s="349"/>
    </row>
    <row r="16" spans="1:23" s="1284" customFormat="1" ht="15" hidden="1" customHeight="1">
      <c r="C16" s="588"/>
      <c r="W16" s="349"/>
    </row>
    <row r="17" spans="1:23" s="1284" customFormat="1" ht="15" hidden="1" customHeight="1">
      <c r="C17" s="588"/>
      <c r="W17" s="349"/>
    </row>
    <row r="18" spans="1:23" s="1284" customFormat="1" ht="15" hidden="1" customHeight="1">
      <c r="C18" s="588"/>
      <c r="W18" s="349"/>
    </row>
    <row r="19" spans="1:23" s="1284" customFormat="1" ht="15" hidden="1" customHeight="1">
      <c r="C19" s="588"/>
      <c r="W19" s="349"/>
    </row>
    <row r="20" spans="1:23" s="1284" customFormat="1" ht="15" hidden="1" customHeight="1">
      <c r="C20" s="588"/>
      <c r="W20" s="349"/>
    </row>
    <row r="21" spans="1:23" ht="15" customHeight="1">
      <c r="C21" s="94"/>
      <c r="D21" s="435"/>
      <c r="E21" s="435"/>
      <c r="F21" s="435"/>
      <c r="G21" s="435"/>
      <c r="H21" s="435"/>
      <c r="I21" s="435"/>
      <c r="J21" s="435"/>
    </row>
    <row r="22" spans="1:23" ht="27.75" customHeight="1">
      <c r="C22" s="94"/>
      <c r="D22" s="2101" t="s">
        <v>1656</v>
      </c>
      <c r="E22" s="2101"/>
      <c r="F22" s="2101"/>
      <c r="G22" s="2101"/>
      <c r="H22" s="2101"/>
      <c r="I22" s="2101"/>
      <c r="J22" s="592"/>
      <c r="K22" s="1802"/>
      <c r="L22" s="1802"/>
      <c r="M22" s="462"/>
    </row>
    <row r="23" spans="1:23" ht="15" customHeight="1">
      <c r="C23" s="94"/>
      <c r="D23" s="1961" t="str">
        <f>IF(org=0,"Не определено",org)</f>
        <v>АО СЗ "КМАпроектжилстрой"</v>
      </c>
      <c r="E23" s="1961"/>
      <c r="F23" s="1961"/>
      <c r="G23" s="1961"/>
      <c r="H23" s="1961"/>
      <c r="I23" s="1961"/>
      <c r="J23" s="592"/>
      <c r="K23" s="1797"/>
      <c r="L23" s="1797"/>
      <c r="M23" s="462"/>
    </row>
    <row r="24" spans="1:23" ht="15" customHeight="1">
      <c r="C24" s="94"/>
      <c r="D24" s="435"/>
      <c r="E24" s="435"/>
      <c r="F24" s="435"/>
      <c r="G24" s="462">
        <v>22</v>
      </c>
      <c r="H24" s="666"/>
      <c r="I24" s="462">
        <v>22</v>
      </c>
      <c r="J24" s="666"/>
      <c r="K24" s="1284" t="s">
        <v>18</v>
      </c>
      <c r="L24" s="666"/>
    </row>
    <row r="25" spans="1:23" s="1552" customFormat="1" ht="0.75" customHeight="1">
      <c r="A25" s="673"/>
      <c r="C25" s="94"/>
      <c r="D25" s="435"/>
      <c r="E25" s="435"/>
      <c r="F25" s="435"/>
      <c r="G25" s="462"/>
      <c r="H25" s="666"/>
      <c r="I25" s="462" t="s">
        <v>118</v>
      </c>
      <c r="J25" s="666"/>
      <c r="K25" s="1284" t="s">
        <v>123</v>
      </c>
      <c r="L25" s="666"/>
      <c r="M25" s="347"/>
      <c r="W25" s="591"/>
    </row>
    <row r="26" spans="1:23" ht="15" customHeight="1">
      <c r="C26" s="94"/>
      <c r="D26" s="626"/>
      <c r="E26" s="2164" t="s">
        <v>105</v>
      </c>
      <c r="F26" s="2165"/>
      <c r="G26" s="2162" t="str">
        <f>IF(G25="","",INDEX(DIFFERENTIATION_UNMERGE_VD,MATCH(G25,DIFFERENTIATION_ID_DIFF,0)))</f>
        <v/>
      </c>
      <c r="H26" s="2163"/>
      <c r="I26" s="2162" t="str">
        <f>IF(I25="","",INDEX(DIFFERENTIATION_UNMERGE_VD,MATCH(I25,DIFFERENTIATION_ID_DIFF,0)))</f>
        <v>Холодное водоснабжение. Питьевая вода; Транспортировка. Питьевая вода; Подключение (технологическое присоединение) к централизованной системе водоснабжения</v>
      </c>
      <c r="J26" s="2163"/>
      <c r="K26" s="2162" t="str">
        <f>IF(K25="","",INDEX(DIFFERENTIATION_UNMERGE_VD,MATCH(K25,DIFFERENTIATION_ID_DIFF,0)))</f>
        <v>Холодное водоснабжение. Питьевая вода; Транспортировка. Питьевая вода; Подключение (технологическое присоединение) к централизованной системе водоснабжения</v>
      </c>
      <c r="L26" s="2163"/>
      <c r="M26" s="1928" t="s">
        <v>292</v>
      </c>
    </row>
    <row r="27" spans="1:23" s="1552" customFormat="1" ht="15" customHeight="1">
      <c r="A27" s="673"/>
      <c r="C27" s="94"/>
      <c r="D27" s="626"/>
      <c r="E27" s="2164" t="s">
        <v>416</v>
      </c>
      <c r="F27" s="2165"/>
      <c r="G27" s="2162" t="str">
        <f>IF(G25="","",INDEX(DIFFERENTIATION_UNMERGE_AREA,MATCH(G25,DIFFERENTIATION_ID_DIFF,0)))</f>
        <v/>
      </c>
      <c r="H27" s="2163"/>
      <c r="I27" s="2162" t="str">
        <f>IF(I25="","",INDEX(DIFFERENTIATION_UNMERGE_AREA,MATCH(I25,DIFFERENTIATION_ID_DIFF,0)))</f>
        <v>без дифференциации</v>
      </c>
      <c r="J27" s="2163"/>
      <c r="K27" s="2162" t="str">
        <f>IF(K25="","",INDEX(DIFFERENTIATION_UNMERGE_AREA,MATCH(K25,DIFFERENTIATION_ID_DIFF,0)))</f>
        <v>без дифференциации</v>
      </c>
      <c r="L27" s="2163"/>
      <c r="M27" s="1932"/>
      <c r="W27" s="591"/>
    </row>
    <row r="28" spans="1:23" s="1552" customFormat="1" ht="15" customHeight="1">
      <c r="A28" s="673"/>
      <c r="C28" s="94"/>
      <c r="D28" s="626"/>
      <c r="E28" s="2164" t="s">
        <v>417</v>
      </c>
      <c r="F28" s="2165"/>
      <c r="G28" s="2162" t="str">
        <f>IF(G25="","",INDEX(DIFFERENTIATION_UNMERGE_SYSTEM,MATCH(G25,DIFFERENTIATION_ID_DIFF,0)))</f>
        <v/>
      </c>
      <c r="H28" s="2163"/>
      <c r="I28" s="2162" t="str">
        <f>IF(I25="","",INDEX(DIFFERENTIATION_UNMERGE_SYSTEM,MATCH(I25,DIFFERENTIATION_ID_DIFF,0)))</f>
        <v>Тереховский водозабор</v>
      </c>
      <c r="J28" s="2163"/>
      <c r="K28" s="2162" t="str">
        <f>IF(K25="","",INDEX(DIFFERENTIATION_UNMERGE_SYSTEM,MATCH(K25,DIFFERENTIATION_ID_DIFF,0)))</f>
        <v>Площадка цем/завода</v>
      </c>
      <c r="L28" s="2163"/>
      <c r="M28" s="1932"/>
      <c r="W28" s="591"/>
    </row>
    <row r="29" spans="1:23" s="1552" customFormat="1" ht="15" customHeight="1">
      <c r="A29" s="673"/>
      <c r="C29" s="94"/>
      <c r="D29" s="2166" t="s">
        <v>291</v>
      </c>
      <c r="E29" s="2167"/>
      <c r="F29" s="2167"/>
      <c r="G29" s="801"/>
      <c r="H29" s="801"/>
      <c r="I29" s="801"/>
      <c r="J29" s="802"/>
      <c r="K29" s="1801"/>
      <c r="L29" s="1801"/>
      <c r="M29" s="1932"/>
      <c r="W29" s="591"/>
    </row>
    <row r="30" spans="1:23" ht="33.75" customHeight="1">
      <c r="C30" s="94"/>
      <c r="D30" s="675" t="s">
        <v>88</v>
      </c>
      <c r="E30" s="674" t="s">
        <v>293</v>
      </c>
      <c r="F30" s="674" t="s">
        <v>1614</v>
      </c>
      <c r="G30" s="721" t="s">
        <v>294</v>
      </c>
      <c r="H30" s="720" t="s">
        <v>383</v>
      </c>
      <c r="I30" s="600" t="s">
        <v>294</v>
      </c>
      <c r="J30" s="391" t="s">
        <v>383</v>
      </c>
      <c r="K30" s="1783" t="s">
        <v>294</v>
      </c>
      <c r="L30" s="1791" t="s">
        <v>383</v>
      </c>
      <c r="M30" s="1935"/>
    </row>
    <row r="31" spans="1:23" ht="15" hidden="1" customHeight="1">
      <c r="C31" s="94"/>
      <c r="D31" s="512"/>
      <c r="E31" s="512"/>
      <c r="F31" s="512"/>
      <c r="G31" s="575"/>
      <c r="H31" s="575"/>
      <c r="I31" s="575"/>
      <c r="J31" s="575"/>
      <c r="K31" s="599"/>
      <c r="L31" s="599"/>
      <c r="M31" s="204"/>
    </row>
    <row r="32" spans="1:23" ht="22.5" customHeight="1">
      <c r="A32" s="431"/>
      <c r="B32" s="431" t="s">
        <v>1657</v>
      </c>
      <c r="C32" s="452"/>
      <c r="D32" s="608">
        <v>1</v>
      </c>
      <c r="E32" s="609" t="s">
        <v>1658</v>
      </c>
      <c r="F32" s="607" t="s">
        <v>297</v>
      </c>
      <c r="G32" s="726" t="s">
        <v>297</v>
      </c>
      <c r="H32" s="726" t="s">
        <v>297</v>
      </c>
      <c r="I32" s="607" t="s">
        <v>297</v>
      </c>
      <c r="J32" s="607" t="s">
        <v>297</v>
      </c>
      <c r="K32" s="1784" t="s">
        <v>297</v>
      </c>
      <c r="L32" s="1784" t="s">
        <v>297</v>
      </c>
      <c r="M32" s="204"/>
    </row>
    <row r="33" spans="1:23" ht="11.25" customHeight="1">
      <c r="A33" s="431"/>
      <c r="C33" s="431"/>
      <c r="D33" s="268"/>
      <c r="E33" s="501" t="s">
        <v>1571</v>
      </c>
      <c r="F33" s="493"/>
      <c r="G33" s="493"/>
      <c r="H33" s="493"/>
      <c r="I33" s="493"/>
      <c r="J33" s="493"/>
      <c r="K33" s="1811"/>
      <c r="L33" s="1812"/>
      <c r="M33" s="494"/>
      <c r="W33" s="431"/>
    </row>
    <row r="34" spans="1:23" ht="22.5" customHeight="1">
      <c r="A34" s="431"/>
      <c r="B34" s="502" t="s">
        <v>451</v>
      </c>
      <c r="C34" s="452"/>
      <c r="D34" s="608">
        <v>2</v>
      </c>
      <c r="E34" s="609" t="s">
        <v>1659</v>
      </c>
      <c r="F34" s="733" t="s">
        <v>297</v>
      </c>
      <c r="G34" s="733" t="s">
        <v>297</v>
      </c>
      <c r="H34" s="733" t="s">
        <v>297</v>
      </c>
      <c r="I34" s="607"/>
      <c r="J34" s="607"/>
      <c r="K34" s="1784" t="s">
        <v>297</v>
      </c>
      <c r="L34" s="1784" t="s">
        <v>297</v>
      </c>
      <c r="M34" s="204"/>
    </row>
    <row r="35" spans="1:23" ht="11.25" customHeight="1">
      <c r="A35" s="431"/>
      <c r="C35" s="431"/>
      <c r="D35" s="268"/>
      <c r="E35" s="501" t="s">
        <v>1660</v>
      </c>
      <c r="F35" s="493"/>
      <c r="G35" s="610"/>
      <c r="H35" s="493"/>
      <c r="I35" s="610"/>
      <c r="J35" s="493"/>
      <c r="K35" s="1813"/>
      <c r="L35" s="1814"/>
      <c r="M35" s="494"/>
      <c r="W35" s="431"/>
    </row>
    <row r="36" spans="1:23" ht="67.5" customHeight="1">
      <c r="A36" s="431"/>
      <c r="B36" s="431" t="s">
        <v>1661</v>
      </c>
      <c r="C36" s="452"/>
      <c r="D36" s="608">
        <v>3</v>
      </c>
      <c r="E36" s="609" t="s">
        <v>1662</v>
      </c>
      <c r="F36" s="611" t="s">
        <v>297</v>
      </c>
      <c r="G36" s="727" t="s">
        <v>1663</v>
      </c>
      <c r="H36" s="726" t="s">
        <v>297</v>
      </c>
      <c r="I36" s="450" t="s">
        <v>1663</v>
      </c>
      <c r="J36" s="607" t="s">
        <v>297</v>
      </c>
      <c r="K36" s="1786" t="s">
        <v>1663</v>
      </c>
      <c r="L36" s="1784" t="s">
        <v>297</v>
      </c>
      <c r="M36" s="204" t="s">
        <v>1664</v>
      </c>
    </row>
    <row r="37" spans="1:23" ht="11.25" customHeight="1">
      <c r="A37" s="431"/>
      <c r="C37" s="431"/>
      <c r="D37" s="268"/>
      <c r="E37" s="501" t="s">
        <v>1665</v>
      </c>
      <c r="F37" s="493"/>
      <c r="G37" s="610"/>
      <c r="H37" s="610"/>
      <c r="I37" s="610"/>
      <c r="J37" s="610"/>
      <c r="K37" s="1815"/>
      <c r="L37" s="1816"/>
      <c r="M37" s="494"/>
      <c r="W37" s="431"/>
    </row>
    <row r="38" spans="1:23" ht="67.5" customHeight="1">
      <c r="A38" s="431"/>
      <c r="B38" s="431" t="s">
        <v>1666</v>
      </c>
      <c r="C38" s="452"/>
      <c r="D38" s="608">
        <v>4</v>
      </c>
      <c r="E38" s="609" t="s">
        <v>1667</v>
      </c>
      <c r="F38" s="611" t="s">
        <v>297</v>
      </c>
      <c r="G38" s="727" t="s">
        <v>1663</v>
      </c>
      <c r="H38" s="728" t="s">
        <v>297</v>
      </c>
      <c r="I38" s="450" t="s">
        <v>1663</v>
      </c>
      <c r="J38" s="447" t="s">
        <v>297</v>
      </c>
      <c r="K38" s="1786" t="s">
        <v>1663</v>
      </c>
      <c r="L38" s="1791" t="s">
        <v>297</v>
      </c>
      <c r="M38" s="595" t="s">
        <v>1668</v>
      </c>
    </row>
    <row r="39" spans="1:23" ht="11.25" customHeight="1">
      <c r="A39" s="431"/>
      <c r="C39" s="431"/>
      <c r="D39" s="268"/>
      <c r="E39" s="501" t="s">
        <v>1669</v>
      </c>
      <c r="F39" s="493"/>
      <c r="G39" s="493"/>
      <c r="H39" s="612"/>
      <c r="I39" s="493"/>
      <c r="J39" s="612"/>
      <c r="K39" s="1817"/>
      <c r="L39" s="1818"/>
      <c r="M39" s="494"/>
      <c r="W39" s="431"/>
    </row>
  </sheetData>
  <sheetProtection formatColumns="0" formatRows="0" insertRows="0" deleteColumns="0" deleteRows="0" sort="0" autoFilter="0"/>
  <mergeCells count="24">
    <mergeCell ref="G28:H28"/>
    <mergeCell ref="M26:M30"/>
    <mergeCell ref="E27:F27"/>
    <mergeCell ref="E28:F28"/>
    <mergeCell ref="I27:J27"/>
    <mergeCell ref="I28:J28"/>
    <mergeCell ref="G26:H26"/>
    <mergeCell ref="G27:H27"/>
    <mergeCell ref="D29:F29"/>
    <mergeCell ref="K28:L28"/>
    <mergeCell ref="K26:L26"/>
    <mergeCell ref="K27:L27"/>
    <mergeCell ref="B13:B14"/>
    <mergeCell ref="C13:C14"/>
    <mergeCell ref="D22:I22"/>
    <mergeCell ref="D23:I23"/>
    <mergeCell ref="I26:J26"/>
    <mergeCell ref="E26:F26"/>
    <mergeCell ref="B3:B4"/>
    <mergeCell ref="C3:C4"/>
    <mergeCell ref="B6:B7"/>
    <mergeCell ref="C6:C7"/>
    <mergeCell ref="B9:B11"/>
    <mergeCell ref="C9:C11"/>
  </mergeCells>
  <dataValidations count="5">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30"/>
    <dataValidation type="textLength" operator="lessThanOrEqual" allowBlank="1" showInputMessage="1" showErrorMessage="1" errorTitle="Ошибка" error="Допускается ввод не более 900 символов!" sqref="I3 I6 I9 I13 G6 G13 G9 G3 K3 K6 K9 K13">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I14 I4 I10:I11 G7 G14 I7 G10:G11 G4 K4 K7 K10 K11 K14"/>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J13:J14 L13:L14 J3:J4 L3:L4 J6:J7 L6:L7 H3:H4 H6:H7 H9:H11 H13:H14 J9:J11 L9:L11">
      <formula1>900</formula1>
    </dataValidation>
    <dataValidation allowBlank="1" showInputMessage="1" showErrorMessage="1" prompt="Для выбора выполните двойной щелчок левой клавиши мыши по ячейке." sqref="I36 G38 I38 G36 K36 K38"/>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AF215"/>
  <sheetViews>
    <sheetView showGridLines="0" topLeftCell="C7" zoomScale="86" workbookViewId="0"/>
  </sheetViews>
  <sheetFormatPr defaultColWidth="10.5703125" defaultRowHeight="14.25" customHeight="1"/>
  <cols>
    <col min="1" max="1" width="25.140625" style="1699" hidden="1" customWidth="1"/>
    <col min="2" max="2" width="9.140625" style="1604" hidden="1" customWidth="1"/>
    <col min="3" max="3" width="3.7109375" style="265" customWidth="1"/>
    <col min="4" max="4" width="6.28515625" style="1552" customWidth="1"/>
    <col min="5" max="5" width="46.7109375" style="1552" customWidth="1"/>
    <col min="6" max="6" width="35.7109375" style="1552" customWidth="1"/>
    <col min="7" max="7" width="3.7109375" style="1552" customWidth="1"/>
    <col min="8" max="9" width="11.7109375" style="1552" customWidth="1"/>
    <col min="10" max="11" width="35.7109375" style="1552" customWidth="1"/>
    <col min="12" max="12" width="84.85546875" style="1552" customWidth="1"/>
    <col min="13" max="13" width="10.5703125" style="1552"/>
    <col min="14" max="15" width="10.5703125" style="1541"/>
    <col min="16" max="32" width="10.5703125" style="1552"/>
  </cols>
  <sheetData>
    <row r="1" spans="1:32" s="1552" customFormat="1" ht="14.25" hidden="1" customHeight="1">
      <c r="A1" s="1699"/>
      <c r="B1" s="293"/>
      <c r="C1" s="265"/>
      <c r="N1" s="1541"/>
      <c r="O1" s="1541"/>
      <c r="S1" s="744"/>
      <c r="AF1" s="170"/>
    </row>
    <row r="2" spans="1:32" s="1552" customFormat="1" ht="56.25" hidden="1" customHeight="1">
      <c r="A2" s="1700"/>
      <c r="B2" s="293"/>
      <c r="C2" s="265"/>
      <c r="D2" s="939"/>
      <c r="E2" s="939"/>
      <c r="F2" s="939"/>
      <c r="G2" s="1690"/>
      <c r="H2" s="1655"/>
      <c r="I2" s="1693"/>
      <c r="J2" s="1692"/>
      <c r="K2" s="1690" t="s">
        <v>297</v>
      </c>
      <c r="M2" s="256"/>
      <c r="N2" s="1541"/>
      <c r="O2" s="1541"/>
    </row>
    <row r="3" spans="1:32" ht="14.25" hidden="1" customHeight="1">
      <c r="S3" s="326"/>
      <c r="AF3" s="170"/>
    </row>
    <row r="4" spans="1:32" s="1552" customFormat="1" ht="56.25" hidden="1" customHeight="1">
      <c r="A4" s="1700"/>
      <c r="B4" s="293"/>
      <c r="C4" s="265"/>
      <c r="D4" s="939"/>
      <c r="E4" s="939"/>
      <c r="F4" s="939"/>
      <c r="G4" s="1689"/>
      <c r="H4" s="1655"/>
      <c r="I4" s="1693"/>
      <c r="J4" s="1698"/>
      <c r="K4" s="1690" t="s">
        <v>297</v>
      </c>
      <c r="M4" s="256"/>
      <c r="N4" s="1541"/>
      <c r="O4" s="1541"/>
    </row>
    <row r="5" spans="1:32" ht="14.25" hidden="1" customHeight="1"/>
    <row r="6" spans="1:32" ht="14.25" hidden="1" customHeight="1"/>
    <row r="7" spans="1:32" ht="6" customHeight="1">
      <c r="C7" s="300"/>
      <c r="D7" s="286"/>
      <c r="E7" s="286"/>
      <c r="F7" s="286"/>
      <c r="G7" s="286"/>
      <c r="H7" s="286"/>
      <c r="I7" s="286"/>
      <c r="J7" s="286"/>
      <c r="K7" s="16"/>
      <c r="L7" s="16"/>
    </row>
    <row r="8" spans="1:32" ht="26.25" customHeight="1">
      <c r="C8" s="300"/>
      <c r="D8" s="2156" t="str">
        <f>"Форма "&amp;IF(TEMPLATE_SPHERE="HEAT","18","12")&amp;". Информация о предложении "&amp;IF(TEMPLATE_SPHERE="HEAT","регулируемой организации","организации "&amp;TEMPLATE_SPHERE_RUS)&amp;" об установлении "&amp;IF(TEMPLATE_SPHERE="HEAT","цен (тарифов)","тарифов ")&amp;" в сфере "&amp;TEMPLATE_SPHERE_RUS&amp;" на очередной период регулирования"</f>
        <v>Форма 12. Информация о предложении организации холодного водоснабжения об установлении тарифов  в сфере холодного водоснабжения на очередной период регулирования</v>
      </c>
      <c r="E8" s="2156"/>
      <c r="F8" s="2156"/>
      <c r="G8" s="2156"/>
      <c r="H8" s="2156"/>
      <c r="I8" s="2156"/>
      <c r="J8" s="2156"/>
      <c r="K8" s="2156"/>
      <c r="L8" s="137"/>
    </row>
    <row r="9" spans="1:32" ht="6" customHeight="1">
      <c r="C9" s="300"/>
      <c r="D9" s="286"/>
      <c r="E9" s="318"/>
      <c r="F9" s="318"/>
      <c r="G9" s="318"/>
      <c r="H9" s="318"/>
      <c r="I9" s="318"/>
      <c r="J9" s="318"/>
      <c r="K9" s="242"/>
      <c r="L9" s="110"/>
    </row>
    <row r="10" spans="1:32" ht="18.75" customHeight="1">
      <c r="C10" s="300"/>
      <c r="D10" s="286"/>
      <c r="E10" s="220" t="str">
        <f>"Дата подачи заявления об "&amp;IF(TITLE_DATE_PR_CHANGE="","утверждении","изменении")&amp;" тарифов"</f>
        <v>Дата подачи заявления об утверждении тарифов</v>
      </c>
      <c r="F10" s="2069" t="str">
        <f>IF(TITLE_DATE_CHANGE_PERIOD="",IF(TITLE_DATE_PR="","",TITLE_DATE_PR),TITLE_DATE_CHANGE_PERIOD)</f>
        <v/>
      </c>
      <c r="G10" s="2069"/>
      <c r="H10" s="2069"/>
      <c r="I10" s="2069"/>
      <c r="J10" s="2069"/>
      <c r="K10" s="2069"/>
      <c r="L10" s="327"/>
      <c r="M10" s="248"/>
    </row>
    <row r="11" spans="1:32" ht="18.75" customHeight="1">
      <c r="C11" s="300"/>
      <c r="D11" s="286"/>
      <c r="E11" s="220" t="str">
        <f>"Номер подачи заявления об "&amp;IF(TITLE_DATE_PR_CHANGE="","утверждении","изменении")&amp;" тарифов"</f>
        <v>Номер подачи заявления об утверждении тарифов</v>
      </c>
      <c r="F11" s="2069" t="str">
        <f>IF(TITLE_NUMBER_PR_CHANGE="",IF(TITLE_NUMBER_PR="","",TITLE_NUMBER_PR),TITLE_NUMBER_PR_CHANGE)</f>
        <v/>
      </c>
      <c r="G11" s="2069"/>
      <c r="H11" s="2069"/>
      <c r="I11" s="2069"/>
      <c r="J11" s="2069"/>
      <c r="K11" s="2069"/>
      <c r="L11" s="327"/>
      <c r="M11" s="248"/>
    </row>
    <row r="12" spans="1:32" ht="14.25" customHeight="1">
      <c r="C12" s="300"/>
      <c r="D12" s="286"/>
      <c r="E12" s="318"/>
      <c r="F12" s="318"/>
      <c r="G12" s="318"/>
      <c r="H12" s="318"/>
      <c r="I12" s="318"/>
      <c r="J12" s="318"/>
      <c r="K12" s="666"/>
      <c r="L12" s="110"/>
    </row>
    <row r="13" spans="1:32" ht="21" customHeight="1">
      <c r="C13" s="300"/>
      <c r="D13" s="1959" t="s">
        <v>291</v>
      </c>
      <c r="E13" s="1959"/>
      <c r="F13" s="1959"/>
      <c r="G13" s="1959"/>
      <c r="H13" s="1959"/>
      <c r="I13" s="1959"/>
      <c r="J13" s="1959"/>
      <c r="K13" s="1959"/>
      <c r="L13" s="2063" t="s">
        <v>292</v>
      </c>
    </row>
    <row r="14" spans="1:32" ht="21" customHeight="1">
      <c r="C14" s="300"/>
      <c r="D14" s="2092" t="s">
        <v>88</v>
      </c>
      <c r="E14" s="1966" t="s">
        <v>127</v>
      </c>
      <c r="F14" s="1966" t="s">
        <v>128</v>
      </c>
      <c r="G14" s="2171" t="s">
        <v>1670</v>
      </c>
      <c r="H14" s="2172"/>
      <c r="I14" s="2173"/>
      <c r="J14" s="1966" t="s">
        <v>294</v>
      </c>
      <c r="K14" s="1966" t="s">
        <v>383</v>
      </c>
      <c r="L14" s="2063"/>
    </row>
    <row r="15" spans="1:32" ht="21" customHeight="1">
      <c r="C15" s="300"/>
      <c r="D15" s="2094"/>
      <c r="E15" s="1967"/>
      <c r="F15" s="1967"/>
      <c r="G15" s="1965" t="s">
        <v>1549</v>
      </c>
      <c r="H15" s="1979"/>
      <c r="I15" s="35" t="s">
        <v>1671</v>
      </c>
      <c r="J15" s="1967"/>
      <c r="K15" s="1967"/>
      <c r="L15" s="2063"/>
    </row>
    <row r="16" spans="1:32" ht="12" hidden="1" customHeight="1">
      <c r="C16" s="300"/>
      <c r="D16" s="197"/>
      <c r="E16" s="197"/>
      <c r="F16" s="197"/>
      <c r="G16" s="2174"/>
      <c r="H16" s="2174"/>
      <c r="I16" s="197"/>
      <c r="J16" s="197"/>
      <c r="K16" s="197"/>
      <c r="L16" s="197"/>
    </row>
    <row r="17" spans="1:15" ht="18.75" customHeight="1">
      <c r="A17" s="1700"/>
      <c r="C17" s="300"/>
      <c r="D17" s="1688" t="s">
        <v>109</v>
      </c>
      <c r="E17" s="2160" t="str">
        <f>"Предлагаемый метод регулирования"&amp;IF(TEMPLATE_SPHERE="HEAT"," в сфере "&amp;TEMPLATE_SPHERE_RUS,"")</f>
        <v>Предлагаемый метод регулирования</v>
      </c>
      <c r="F17" s="2160"/>
      <c r="G17" s="2160"/>
      <c r="H17" s="2160"/>
      <c r="I17" s="2160"/>
      <c r="J17" s="2175" t="s">
        <v>297</v>
      </c>
      <c r="K17" s="2160"/>
      <c r="L17" s="1687"/>
      <c r="M17" s="256"/>
    </row>
    <row r="18" spans="1:15" ht="56.25" hidden="1" customHeight="1">
      <c r="A18" s="1700" t="s">
        <v>160</v>
      </c>
      <c r="C18" s="2170"/>
      <c r="D18" s="1953"/>
      <c r="E18" s="2009" t="str">
        <f>INDEX(PT_DIFFERENTIATION_VTAR,MATCH(A18,PT_DIFFERENTIATION_VTAR_ID,0))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F18" s="2009" t="str">
        <f>INDEX(PT_DIFFERENTIATION_VDET,MATCH(A18,PT_DIFFERENTIATION_VTAR_ID,0))</f>
        <v/>
      </c>
      <c r="G18" s="115"/>
      <c r="H18" s="1655"/>
      <c r="I18" s="1693"/>
      <c r="J18" s="1692"/>
      <c r="K18" s="1685" t="s">
        <v>297</v>
      </c>
      <c r="L18" s="1918"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"&amp;"Значение в колонке «Информация» выбирается из перечня:
- метод экономически обоснованных расходов (затрат);
- метод индексации установленных тарифов;
- метод обеспечения доходности инвестированного капитала;
- метод сравнения аналогов.
"&amp;"Даты начала и окончания срока действия тарифов указываются в виде «ДД.ММ.ГГГГ».
В случае дифференциации предлагаемых методов регулирования по видам тарифов и (или) по периодам действия тарифов информация по каждому из них указывается в отдельной строке."</f>
        <v>Значение в колонке «Вид тарифа» выбирается из перечня видов тарифов в сфере холодного водоснабжения, предусмотренных законодательством в сфере водоснабжения и водоотведения.
Значение в колонке «Информация» выбирается из перечня:
- метод экономически обоснованных расходов (затрат);
- метод индексации установленных тарифов;
- метод обеспечения доходности инвестированного капитала;
- метод сравнения аналогов.
Даты начала и окончания срока действия тарифов указываются в виде «ДД.ММ.ГГГГ».
В случае дифференциации предлагаемых методов регулирования по видам тарифов и (или) по периодам действия тарифов информация по каждому из них указывается в отдельной строке.</v>
      </c>
      <c r="M18" s="256"/>
    </row>
    <row r="19" spans="1:15" ht="18.75" hidden="1" customHeight="1">
      <c r="A19" s="1700"/>
      <c r="B19" s="293" t="s">
        <v>1672</v>
      </c>
      <c r="C19" s="2170"/>
      <c r="D19" s="1953"/>
      <c r="E19" s="2009"/>
      <c r="F19" s="2009"/>
      <c r="G19" s="329"/>
      <c r="H19" s="324" t="s">
        <v>1570</v>
      </c>
      <c r="I19" s="270"/>
      <c r="J19" s="330"/>
      <c r="K19" s="118"/>
      <c r="L19" s="1919"/>
      <c r="M19" s="256"/>
    </row>
    <row r="20" spans="1:15" s="1552" customFormat="1" ht="26.25" hidden="1" customHeight="1">
      <c r="A20" s="1700" t="s">
        <v>166</v>
      </c>
      <c r="B20" s="293"/>
      <c r="C20" s="2170"/>
      <c r="D20" s="1953"/>
      <c r="E20" s="2009" t="str">
        <f>INDEX(PT_DIFFERENTIATION_VTAR,MATCH(A20,PT_DIFFERENTIATION_VTAR_ID,0))</f>
        <v>Тарифы на тепловую энергию (мощность), поставляемую теплоснабжающими организациями потребителям, другим теплоснабжающим организациям</v>
      </c>
      <c r="F20" s="2009" t="str">
        <f>INDEX(PT_DIFFERENTIATION_VDET,MATCH(A20,PT_DIFFERENTIATION_VTAR_ID,0))</f>
        <v/>
      </c>
      <c r="G20" s="1686"/>
      <c r="H20" s="1655"/>
      <c r="I20" s="1693"/>
      <c r="J20" s="1692"/>
      <c r="K20" s="1685" t="s">
        <v>297</v>
      </c>
      <c r="L20" s="1919"/>
      <c r="M20" s="256"/>
      <c r="N20" s="1541"/>
      <c r="O20" s="1541"/>
    </row>
    <row r="21" spans="1:15" s="1552" customFormat="1" ht="18.75" hidden="1" customHeight="1">
      <c r="A21" s="1700"/>
      <c r="B21" s="293" t="s">
        <v>1672</v>
      </c>
      <c r="C21" s="2170"/>
      <c r="D21" s="1953"/>
      <c r="E21" s="2009"/>
      <c r="F21" s="2009"/>
      <c r="G21" s="329"/>
      <c r="H21" s="324" t="s">
        <v>1570</v>
      </c>
      <c r="I21" s="270"/>
      <c r="J21" s="330"/>
      <c r="K21" s="118"/>
      <c r="L21" s="1919"/>
      <c r="M21" s="256"/>
      <c r="N21" s="1541"/>
      <c r="O21" s="1541"/>
    </row>
    <row r="22" spans="1:15" s="1552" customFormat="1" ht="18.75" hidden="1" customHeight="1">
      <c r="A22" s="1700" t="s">
        <v>172</v>
      </c>
      <c r="B22" s="293"/>
      <c r="C22" s="2170"/>
      <c r="D22" s="1953"/>
      <c r="E22" s="2009" t="str">
        <f>INDEX(PT_DIFFERENTIATION_VTAR,MATCH(A22,PT_DIFFERENTIATION_VTAR_ID,0))</f>
        <v>Тарифы на теплоноситель, поставляемый теплоснабжающими организациями потребителям, другим теплоснабжающим организациям</v>
      </c>
      <c r="F22" s="2009" t="str">
        <f>INDEX(PT_DIFFERENTIATION_VDET,MATCH(A22,PT_DIFFERENTIATION_VTAR_ID,0))</f>
        <v/>
      </c>
      <c r="G22" s="1686"/>
      <c r="H22" s="1655"/>
      <c r="I22" s="1693"/>
      <c r="J22" s="1692"/>
      <c r="K22" s="1685" t="s">
        <v>297</v>
      </c>
      <c r="L22" s="1919"/>
      <c r="M22" s="256"/>
      <c r="N22" s="1541"/>
      <c r="O22" s="1541"/>
    </row>
    <row r="23" spans="1:15" s="1552" customFormat="1" ht="18.75" hidden="1" customHeight="1">
      <c r="A23" s="1700"/>
      <c r="B23" s="293" t="s">
        <v>1672</v>
      </c>
      <c r="C23" s="2170"/>
      <c r="D23" s="1953"/>
      <c r="E23" s="2009"/>
      <c r="F23" s="2009"/>
      <c r="G23" s="329"/>
      <c r="H23" s="324" t="s">
        <v>1570</v>
      </c>
      <c r="I23" s="270"/>
      <c r="J23" s="330"/>
      <c r="K23" s="118"/>
      <c r="L23" s="1919"/>
      <c r="M23" s="256"/>
      <c r="N23" s="1541"/>
      <c r="O23" s="1541"/>
    </row>
    <row r="24" spans="1:15" s="1552" customFormat="1" ht="41.25" hidden="1" customHeight="1">
      <c r="A24" s="1700" t="s">
        <v>178</v>
      </c>
      <c r="B24" s="293"/>
      <c r="C24" s="2170"/>
      <c r="D24" s="1953"/>
      <c r="E24" s="2009" t="str">
        <f>INDEX(PT_DIFFERENTIATION_VTAR,MATCH(A24,PT_DIFFERENTIATION_VTAR_ID,0))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F24" s="2009" t="str">
        <f>INDEX(PT_DIFFERENTIATION_VDET,MATCH(A24,PT_DIFFERENTIATION_VTAR_ID,0))</f>
        <v/>
      </c>
      <c r="G24" s="1686"/>
      <c r="H24" s="1655"/>
      <c r="I24" s="1693"/>
      <c r="J24" s="1692"/>
      <c r="K24" s="1685" t="s">
        <v>297</v>
      </c>
      <c r="L24" s="1919"/>
      <c r="M24" s="256"/>
      <c r="N24" s="1541"/>
      <c r="O24" s="1541"/>
    </row>
    <row r="25" spans="1:15" s="1552" customFormat="1" ht="18.75" hidden="1" customHeight="1">
      <c r="A25" s="1700"/>
      <c r="B25" s="293" t="s">
        <v>1672</v>
      </c>
      <c r="C25" s="2170"/>
      <c r="D25" s="1953"/>
      <c r="E25" s="2009"/>
      <c r="F25" s="2009"/>
      <c r="G25" s="329"/>
      <c r="H25" s="324" t="s">
        <v>1570</v>
      </c>
      <c r="I25" s="270"/>
      <c r="J25" s="330"/>
      <c r="K25" s="118"/>
      <c r="L25" s="1919"/>
      <c r="M25" s="256"/>
      <c r="N25" s="1541"/>
      <c r="O25" s="1541"/>
    </row>
    <row r="26" spans="1:15" s="1552" customFormat="1" ht="18.75" hidden="1" customHeight="1">
      <c r="A26" s="1700" t="s">
        <v>184</v>
      </c>
      <c r="B26" s="293"/>
      <c r="C26" s="2170"/>
      <c r="D26" s="1953"/>
      <c r="E26" s="2009" t="str">
        <f>INDEX(PT_DIFFERENTIATION_VTAR,MATCH(A26,PT_DIFFERENTIATION_VTAR_ID,0))</f>
        <v>Тарифы на услуги по передаче тепловой энергии</v>
      </c>
      <c r="F26" s="2009" t="str">
        <f>INDEX(PT_DIFFERENTIATION_VDET,MATCH(A26,PT_DIFFERENTIATION_VTAR_ID,0))</f>
        <v/>
      </c>
      <c r="G26" s="1686"/>
      <c r="H26" s="1655"/>
      <c r="I26" s="1693"/>
      <c r="J26" s="1692"/>
      <c r="K26" s="1685" t="s">
        <v>297</v>
      </c>
      <c r="L26" s="1919"/>
      <c r="M26" s="256"/>
      <c r="N26" s="1541"/>
      <c r="O26" s="1541"/>
    </row>
    <row r="27" spans="1:15" s="1552" customFormat="1" ht="18.75" hidden="1" customHeight="1">
      <c r="A27" s="1700"/>
      <c r="B27" s="293" t="s">
        <v>1672</v>
      </c>
      <c r="C27" s="2170"/>
      <c r="D27" s="1953"/>
      <c r="E27" s="2009"/>
      <c r="F27" s="2009"/>
      <c r="G27" s="329"/>
      <c r="H27" s="324" t="s">
        <v>1570</v>
      </c>
      <c r="I27" s="270"/>
      <c r="J27" s="330"/>
      <c r="K27" s="118"/>
      <c r="L27" s="1919"/>
      <c r="M27" s="256"/>
      <c r="N27" s="1541"/>
      <c r="O27" s="1541"/>
    </row>
    <row r="28" spans="1:15" s="1552" customFormat="1" ht="18.75" hidden="1" customHeight="1">
      <c r="A28" s="1700" t="s">
        <v>190</v>
      </c>
      <c r="B28" s="293"/>
      <c r="C28" s="2170"/>
      <c r="D28" s="1953"/>
      <c r="E28" s="2009" t="str">
        <f>INDEX(PT_DIFFERENTIATION_VTAR,MATCH(A28,PT_DIFFERENTIATION_VTAR_ID,0))</f>
        <v>Тарифы на услуги по передаче теплоносителя</v>
      </c>
      <c r="F28" s="2009" t="str">
        <f>INDEX(PT_DIFFERENTIATION_VDET,MATCH(A28,PT_DIFFERENTIATION_VTAR_ID,0))</f>
        <v/>
      </c>
      <c r="G28" s="1686"/>
      <c r="H28" s="1655"/>
      <c r="I28" s="1693"/>
      <c r="J28" s="1692"/>
      <c r="K28" s="1685" t="s">
        <v>297</v>
      </c>
      <c r="L28" s="1919"/>
      <c r="M28" s="256"/>
      <c r="N28" s="1541"/>
      <c r="O28" s="1541"/>
    </row>
    <row r="29" spans="1:15" s="1552" customFormat="1" ht="18.75" hidden="1" customHeight="1">
      <c r="A29" s="1700"/>
      <c r="B29" s="293" t="s">
        <v>1672</v>
      </c>
      <c r="C29" s="2170"/>
      <c r="D29" s="1953"/>
      <c r="E29" s="2009"/>
      <c r="F29" s="2009"/>
      <c r="G29" s="329"/>
      <c r="H29" s="324" t="s">
        <v>1570</v>
      </c>
      <c r="I29" s="270"/>
      <c r="J29" s="330"/>
      <c r="K29" s="118"/>
      <c r="L29" s="1919"/>
      <c r="M29" s="256"/>
      <c r="N29" s="1541"/>
      <c r="O29" s="1541"/>
    </row>
    <row r="30" spans="1:15" s="1552" customFormat="1" ht="18.75" hidden="1" customHeight="1">
      <c r="A30" s="1700" t="s">
        <v>196</v>
      </c>
      <c r="B30" s="293"/>
      <c r="C30" s="2170"/>
      <c r="D30" s="1953"/>
      <c r="E30" s="2009" t="str">
        <f>INDEX(PT_DIFFERENTIATION_VTAR,MATCH(A30,PT_DIFFERENTIATION_VTAR_ID,0))</f>
        <v>Плата за услуги по поддержанию резервной тепловой мощности при отсутствии потребления тепловой энергии</v>
      </c>
      <c r="F30" s="2009" t="str">
        <f>INDEX(PT_DIFFERENTIATION_VDET,MATCH(A30,PT_DIFFERENTIATION_VTAR_ID,0))</f>
        <v/>
      </c>
      <c r="G30" s="1686"/>
      <c r="H30" s="1655"/>
      <c r="I30" s="1693"/>
      <c r="J30" s="1692"/>
      <c r="K30" s="1685" t="s">
        <v>297</v>
      </c>
      <c r="L30" s="1919"/>
      <c r="M30" s="256"/>
      <c r="N30" s="1541"/>
      <c r="O30" s="1541"/>
    </row>
    <row r="31" spans="1:15" s="1552" customFormat="1" ht="18.75" hidden="1" customHeight="1">
      <c r="A31" s="1700"/>
      <c r="B31" s="293" t="s">
        <v>1672</v>
      </c>
      <c r="C31" s="2170"/>
      <c r="D31" s="1953"/>
      <c r="E31" s="2009"/>
      <c r="F31" s="2009"/>
      <c r="G31" s="329"/>
      <c r="H31" s="324" t="s">
        <v>1570</v>
      </c>
      <c r="I31" s="270"/>
      <c r="J31" s="330"/>
      <c r="K31" s="118"/>
      <c r="L31" s="1919"/>
      <c r="M31" s="256"/>
      <c r="N31" s="1541"/>
      <c r="O31" s="1541"/>
    </row>
    <row r="32" spans="1:15" s="1552" customFormat="1" ht="18.75" hidden="1" customHeight="1">
      <c r="A32" s="1700" t="s">
        <v>202</v>
      </c>
      <c r="B32" s="293"/>
      <c r="C32" s="2170"/>
      <c r="D32" s="1953"/>
      <c r="E32" s="2009" t="str">
        <f>INDEX(PT_DIFFERENTIATION_VTAR,MATCH(A32,PT_DIFFERENTIATION_VTAR_ID,0))</f>
        <v>Плата за подключение (технологическое присоединение) к системе теплоснабжения</v>
      </c>
      <c r="F32" s="2009" t="str">
        <f>INDEX(PT_DIFFERENTIATION_VDET,MATCH(A32,PT_DIFFERENTIATION_VTAR_ID,0))</f>
        <v/>
      </c>
      <c r="G32" s="1686"/>
      <c r="H32" s="1655"/>
      <c r="I32" s="1693"/>
      <c r="J32" s="1692"/>
      <c r="K32" s="1685" t="s">
        <v>297</v>
      </c>
      <c r="L32" s="1919"/>
      <c r="M32" s="256"/>
      <c r="N32" s="1541"/>
      <c r="O32" s="1541"/>
    </row>
    <row r="33" spans="1:15" s="1552" customFormat="1" ht="18.75" hidden="1" customHeight="1">
      <c r="A33" s="1700"/>
      <c r="B33" s="293" t="s">
        <v>1672</v>
      </c>
      <c r="C33" s="2170"/>
      <c r="D33" s="1953"/>
      <c r="E33" s="2009"/>
      <c r="F33" s="2009"/>
      <c r="G33" s="329"/>
      <c r="H33" s="324" t="s">
        <v>1570</v>
      </c>
      <c r="I33" s="270"/>
      <c r="J33" s="330"/>
      <c r="K33" s="118"/>
      <c r="L33" s="1919"/>
      <c r="M33" s="256"/>
      <c r="N33" s="1541"/>
      <c r="O33" s="1541"/>
    </row>
    <row r="34" spans="1:15" s="1552" customFormat="1" ht="18.75" hidden="1" customHeight="1">
      <c r="A34" s="1700" t="s">
        <v>216</v>
      </c>
      <c r="B34" s="293"/>
      <c r="C34" s="2170"/>
      <c r="D34" s="1953"/>
      <c r="E34" s="2009" t="str">
        <f>INDEX(PT_DIFFERENTIATION_VTAR,MATCH(A34,PT_DIFFERENTIATION_VTAR_ID,0))</f>
        <v>Тариф на питьевую воду (питьевое водоснабжение)</v>
      </c>
      <c r="F34" s="2009" t="str">
        <f>INDEX(PT_DIFFERENTIATION_VDET,MATCH(A34,PT_DIFFERENTIATION_VTAR_ID,0))</f>
        <v/>
      </c>
      <c r="G34" s="1686"/>
      <c r="H34" s="1655"/>
      <c r="I34" s="1693"/>
      <c r="J34" s="1692"/>
      <c r="K34" s="1685" t="s">
        <v>297</v>
      </c>
      <c r="L34" s="1919"/>
      <c r="M34" s="256"/>
      <c r="N34" s="1541"/>
      <c r="O34" s="1541"/>
    </row>
    <row r="35" spans="1:15" s="1552" customFormat="1" ht="18.75" hidden="1" customHeight="1">
      <c r="A35" s="1700"/>
      <c r="B35" s="293" t="s">
        <v>1672</v>
      </c>
      <c r="C35" s="2170"/>
      <c r="D35" s="1953"/>
      <c r="E35" s="2009"/>
      <c r="F35" s="2009"/>
      <c r="G35" s="329"/>
      <c r="H35" s="324" t="s">
        <v>1570</v>
      </c>
      <c r="I35" s="270"/>
      <c r="J35" s="330"/>
      <c r="K35" s="118"/>
      <c r="L35" s="1919"/>
      <c r="M35" s="256"/>
      <c r="N35" s="1541"/>
      <c r="O35" s="1541"/>
    </row>
    <row r="36" spans="1:15" s="1552" customFormat="1" ht="18.75" hidden="1" customHeight="1">
      <c r="A36" s="1700" t="s">
        <v>221</v>
      </c>
      <c r="B36" s="293"/>
      <c r="C36" s="2170"/>
      <c r="D36" s="1953"/>
      <c r="E36" s="2009" t="str">
        <f>INDEX(PT_DIFFERENTIATION_VTAR,MATCH(A36,PT_DIFFERENTIATION_VTAR_ID,0))</f>
        <v>Тариф на техническую воду</v>
      </c>
      <c r="F36" s="2009" t="str">
        <f>INDEX(PT_DIFFERENTIATION_VDET,MATCH(A36,PT_DIFFERENTIATION_VTAR_ID,0))</f>
        <v/>
      </c>
      <c r="G36" s="1686"/>
      <c r="H36" s="1655"/>
      <c r="I36" s="1693"/>
      <c r="J36" s="1692"/>
      <c r="K36" s="1685" t="s">
        <v>297</v>
      </c>
      <c r="L36" s="1919"/>
      <c r="M36" s="256"/>
      <c r="N36" s="1541"/>
      <c r="O36" s="1541"/>
    </row>
    <row r="37" spans="1:15" s="1552" customFormat="1" ht="18.75" hidden="1" customHeight="1">
      <c r="A37" s="1700"/>
      <c r="B37" s="293" t="s">
        <v>1672</v>
      </c>
      <c r="C37" s="2170"/>
      <c r="D37" s="1953"/>
      <c r="E37" s="2009"/>
      <c r="F37" s="2009"/>
      <c r="G37" s="329"/>
      <c r="H37" s="324" t="s">
        <v>1570</v>
      </c>
      <c r="I37" s="270"/>
      <c r="J37" s="330"/>
      <c r="K37" s="118"/>
      <c r="L37" s="1919"/>
      <c r="M37" s="256"/>
      <c r="N37" s="1541"/>
      <c r="O37" s="1541"/>
    </row>
    <row r="38" spans="1:15" s="1552" customFormat="1" ht="18.75" hidden="1" customHeight="1">
      <c r="A38" s="1700" t="s">
        <v>226</v>
      </c>
      <c r="B38" s="293"/>
      <c r="C38" s="2170"/>
      <c r="D38" s="1953"/>
      <c r="E38" s="2009" t="str">
        <f>INDEX(PT_DIFFERENTIATION_VTAR,MATCH(A38,PT_DIFFERENTIATION_VTAR_ID,0))</f>
        <v>Тариф на транспортировку воды</v>
      </c>
      <c r="F38" s="2009" t="str">
        <f>INDEX(PT_DIFFERENTIATION_VDET,MATCH(A38,PT_DIFFERENTIATION_VTAR_ID,0))</f>
        <v/>
      </c>
      <c r="G38" s="1686"/>
      <c r="H38" s="1655"/>
      <c r="I38" s="1693"/>
      <c r="J38" s="1692"/>
      <c r="K38" s="1685" t="s">
        <v>297</v>
      </c>
      <c r="L38" s="1919"/>
      <c r="M38" s="256"/>
      <c r="N38" s="1541"/>
      <c r="O38" s="1541"/>
    </row>
    <row r="39" spans="1:15" s="1552" customFormat="1" ht="18.75" hidden="1" customHeight="1">
      <c r="A39" s="1700"/>
      <c r="B39" s="293" t="s">
        <v>1672</v>
      </c>
      <c r="C39" s="2170"/>
      <c r="D39" s="1953"/>
      <c r="E39" s="2009"/>
      <c r="F39" s="2009"/>
      <c r="G39" s="329"/>
      <c r="H39" s="324" t="s">
        <v>1570</v>
      </c>
      <c r="I39" s="270"/>
      <c r="J39" s="330"/>
      <c r="K39" s="118"/>
      <c r="L39" s="1919"/>
      <c r="M39" s="256"/>
      <c r="N39" s="1541"/>
      <c r="O39" s="1541"/>
    </row>
    <row r="40" spans="1:15" s="1552" customFormat="1" ht="18.75" hidden="1" customHeight="1">
      <c r="A40" s="1700" t="s">
        <v>231</v>
      </c>
      <c r="B40" s="293"/>
      <c r="C40" s="2170"/>
      <c r="D40" s="1953"/>
      <c r="E40" s="2009" t="str">
        <f>INDEX(PT_DIFFERENTIATION_VTAR,MATCH(A40,PT_DIFFERENTIATION_VTAR_ID,0))</f>
        <v>Тариф на подвоз воды</v>
      </c>
      <c r="F40" s="2009" t="str">
        <f>INDEX(PT_DIFFERENTIATION_VDET,MATCH(A40,PT_DIFFERENTIATION_VTAR_ID,0))</f>
        <v/>
      </c>
      <c r="G40" s="1686"/>
      <c r="H40" s="1655"/>
      <c r="I40" s="1693"/>
      <c r="J40" s="1692"/>
      <c r="K40" s="1685" t="s">
        <v>297</v>
      </c>
      <c r="L40" s="1919"/>
      <c r="M40" s="256"/>
      <c r="N40" s="1541"/>
      <c r="O40" s="1541"/>
    </row>
    <row r="41" spans="1:15" s="1552" customFormat="1" ht="18.75" hidden="1" customHeight="1">
      <c r="A41" s="1700"/>
      <c r="B41" s="293" t="s">
        <v>1672</v>
      </c>
      <c r="C41" s="2170"/>
      <c r="D41" s="1953"/>
      <c r="E41" s="2009"/>
      <c r="F41" s="2009"/>
      <c r="G41" s="329"/>
      <c r="H41" s="324" t="s">
        <v>1570</v>
      </c>
      <c r="I41" s="270"/>
      <c r="J41" s="330"/>
      <c r="K41" s="118"/>
      <c r="L41" s="1919"/>
      <c r="M41" s="256"/>
      <c r="N41" s="1541"/>
      <c r="O41" s="1541"/>
    </row>
    <row r="42" spans="1:15" s="1552" customFormat="1" ht="18.75" hidden="1" customHeight="1">
      <c r="A42" s="1700" t="s">
        <v>236</v>
      </c>
      <c r="B42" s="293"/>
      <c r="C42" s="2170"/>
      <c r="D42" s="1953"/>
      <c r="E42" s="2009" t="str">
        <f>INDEX(PT_DIFFERENTIATION_VTAR,MATCH(A42,PT_DIFFERENTIATION_VTAR_ID,0))</f>
        <v>Тариф на подключение (технологическое присоединение) к централизованной системе холодного водоснабжения</v>
      </c>
      <c r="F42" s="2009" t="str">
        <f>INDEX(PT_DIFFERENTIATION_VDET,MATCH(A42,PT_DIFFERENTIATION_VTAR_ID,0))</f>
        <v/>
      </c>
      <c r="G42" s="1686"/>
      <c r="H42" s="1655"/>
      <c r="I42" s="1693"/>
      <c r="J42" s="1692"/>
      <c r="K42" s="1685" t="s">
        <v>297</v>
      </c>
      <c r="L42" s="1919"/>
      <c r="M42" s="256"/>
      <c r="N42" s="1541"/>
      <c r="O42" s="1541"/>
    </row>
    <row r="43" spans="1:15" s="1552" customFormat="1" ht="18.75" hidden="1" customHeight="1">
      <c r="A43" s="1700"/>
      <c r="B43" s="293" t="s">
        <v>1672</v>
      </c>
      <c r="C43" s="2170"/>
      <c r="D43" s="1953"/>
      <c r="E43" s="2009"/>
      <c r="F43" s="2009"/>
      <c r="G43" s="329"/>
      <c r="H43" s="324" t="s">
        <v>1570</v>
      </c>
      <c r="I43" s="270"/>
      <c r="J43" s="330"/>
      <c r="K43" s="118"/>
      <c r="L43" s="1919"/>
      <c r="M43" s="256"/>
      <c r="N43" s="1541"/>
      <c r="O43" s="1541"/>
    </row>
    <row r="44" spans="1:15" s="1552" customFormat="1" ht="18.75" hidden="1" customHeight="1">
      <c r="A44" s="1700" t="s">
        <v>241</v>
      </c>
      <c r="B44" s="293"/>
      <c r="C44" s="2170"/>
      <c r="D44" s="1953"/>
      <c r="E44" s="2009" t="str">
        <f>INDEX(PT_DIFFERENTIATION_VTAR,MATCH(A44,PT_DIFFERENTIATION_VTAR_ID,0))</f>
        <v>Тариф на горячую воду (горячее водоснабжение)</v>
      </c>
      <c r="F44" s="2009" t="str">
        <f>INDEX(PT_DIFFERENTIATION_VDET,MATCH(A44,PT_DIFFERENTIATION_VTAR_ID,0))</f>
        <v/>
      </c>
      <c r="G44" s="1686"/>
      <c r="H44" s="1655"/>
      <c r="I44" s="1693"/>
      <c r="J44" s="1692"/>
      <c r="K44" s="1685" t="s">
        <v>297</v>
      </c>
      <c r="L44" s="1919"/>
      <c r="M44" s="256"/>
      <c r="N44" s="1541"/>
      <c r="O44" s="1541"/>
    </row>
    <row r="45" spans="1:15" s="1552" customFormat="1" ht="18.75" hidden="1" customHeight="1">
      <c r="A45" s="1700"/>
      <c r="B45" s="293" t="s">
        <v>1672</v>
      </c>
      <c r="C45" s="2170"/>
      <c r="D45" s="1953"/>
      <c r="E45" s="2009"/>
      <c r="F45" s="2009"/>
      <c r="G45" s="329"/>
      <c r="H45" s="324" t="s">
        <v>1570</v>
      </c>
      <c r="I45" s="270"/>
      <c r="J45" s="330"/>
      <c r="K45" s="118"/>
      <c r="L45" s="1919"/>
      <c r="M45" s="256"/>
      <c r="N45" s="1541"/>
      <c r="O45" s="1541"/>
    </row>
    <row r="46" spans="1:15" s="1552" customFormat="1" ht="18.75" hidden="1" customHeight="1">
      <c r="A46" s="1700" t="s">
        <v>246</v>
      </c>
      <c r="B46" s="293"/>
      <c r="C46" s="2170"/>
      <c r="D46" s="1953"/>
      <c r="E46" s="2009" t="str">
        <f>INDEX(PT_DIFFERENTIATION_VTAR,MATCH(A46,PT_DIFFERENTIATION_VTAR_ID,0))</f>
        <v>Тариф на транспортировку горячей воды</v>
      </c>
      <c r="F46" s="2009" t="str">
        <f>INDEX(PT_DIFFERENTIATION_VDET,MATCH(A46,PT_DIFFERENTIATION_VTAR_ID,0))</f>
        <v/>
      </c>
      <c r="G46" s="1686"/>
      <c r="H46" s="1655"/>
      <c r="I46" s="1693"/>
      <c r="J46" s="1692"/>
      <c r="K46" s="1685" t="s">
        <v>297</v>
      </c>
      <c r="L46" s="1919"/>
      <c r="M46" s="256"/>
      <c r="N46" s="1541"/>
      <c r="O46" s="1541"/>
    </row>
    <row r="47" spans="1:15" s="1552" customFormat="1" ht="18.75" hidden="1" customHeight="1">
      <c r="A47" s="1700"/>
      <c r="B47" s="293" t="s">
        <v>1672</v>
      </c>
      <c r="C47" s="2170"/>
      <c r="D47" s="1953"/>
      <c r="E47" s="2009"/>
      <c r="F47" s="2009"/>
      <c r="G47" s="329"/>
      <c r="H47" s="324" t="s">
        <v>1570</v>
      </c>
      <c r="I47" s="270"/>
      <c r="J47" s="330"/>
      <c r="K47" s="118"/>
      <c r="L47" s="1919"/>
      <c r="M47" s="256"/>
      <c r="N47" s="1541"/>
      <c r="O47" s="1541"/>
    </row>
    <row r="48" spans="1:15" s="1552" customFormat="1" ht="18.75" hidden="1" customHeight="1">
      <c r="A48" s="1700" t="s">
        <v>251</v>
      </c>
      <c r="B48" s="293"/>
      <c r="C48" s="2170"/>
      <c r="D48" s="1953"/>
      <c r="E48" s="2009" t="str">
        <f>INDEX(PT_DIFFERENTIATION_VTAR,MATCH(A48,PT_DIFFERENTIATION_VTAR_ID,0))</f>
        <v>Тариф на подключение (технологическое присоединение) к централизованной системе горячего водоснабжения</v>
      </c>
      <c r="F48" s="2009" t="str">
        <f>INDEX(PT_DIFFERENTIATION_VDET,MATCH(A48,PT_DIFFERENTIATION_VTAR_ID,0))</f>
        <v/>
      </c>
      <c r="G48" s="1686"/>
      <c r="H48" s="1655"/>
      <c r="I48" s="1693"/>
      <c r="J48" s="1692"/>
      <c r="K48" s="1685" t="s">
        <v>297</v>
      </c>
      <c r="L48" s="1919"/>
      <c r="M48" s="256"/>
      <c r="N48" s="1541"/>
      <c r="O48" s="1541"/>
    </row>
    <row r="49" spans="1:15" s="1552" customFormat="1" ht="18.75" hidden="1" customHeight="1">
      <c r="A49" s="1700"/>
      <c r="B49" s="293" t="s">
        <v>1672</v>
      </c>
      <c r="C49" s="2170"/>
      <c r="D49" s="1953"/>
      <c r="E49" s="2009"/>
      <c r="F49" s="2009"/>
      <c r="G49" s="329"/>
      <c r="H49" s="324" t="s">
        <v>1570</v>
      </c>
      <c r="I49" s="270"/>
      <c r="J49" s="330"/>
      <c r="K49" s="118"/>
      <c r="L49" s="1919"/>
      <c r="M49" s="256"/>
      <c r="N49" s="1541"/>
      <c r="O49" s="1541"/>
    </row>
    <row r="50" spans="1:15" s="1552" customFormat="1" ht="18.75" hidden="1" customHeight="1">
      <c r="A50" s="1700" t="s">
        <v>256</v>
      </c>
      <c r="B50" s="293"/>
      <c r="C50" s="2170"/>
      <c r="D50" s="1953"/>
      <c r="E50" s="2009" t="str">
        <f>INDEX(PT_DIFFERENTIATION_VTAR,MATCH(A50,PT_DIFFERENTIATION_VTAR_ID,0))</f>
        <v>Тариф на водоотведение</v>
      </c>
      <c r="F50" s="2009" t="str">
        <f>INDEX(PT_DIFFERENTIATION_VDET,MATCH(A50,PT_DIFFERENTIATION_VTAR_ID,0))</f>
        <v/>
      </c>
      <c r="G50" s="1686"/>
      <c r="H50" s="1655"/>
      <c r="I50" s="1693"/>
      <c r="J50" s="1692"/>
      <c r="K50" s="1685" t="s">
        <v>297</v>
      </c>
      <c r="L50" s="1919"/>
      <c r="M50" s="256"/>
      <c r="N50" s="1541"/>
      <c r="O50" s="1541"/>
    </row>
    <row r="51" spans="1:15" s="1552" customFormat="1" ht="18.75" hidden="1" customHeight="1">
      <c r="A51" s="1700"/>
      <c r="B51" s="293" t="s">
        <v>1672</v>
      </c>
      <c r="C51" s="2170"/>
      <c r="D51" s="1953"/>
      <c r="E51" s="2009"/>
      <c r="F51" s="2009"/>
      <c r="G51" s="329"/>
      <c r="H51" s="324" t="s">
        <v>1570</v>
      </c>
      <c r="I51" s="270"/>
      <c r="J51" s="330"/>
      <c r="K51" s="118"/>
      <c r="L51" s="1919"/>
      <c r="M51" s="256"/>
      <c r="N51" s="1541"/>
      <c r="O51" s="1541"/>
    </row>
    <row r="52" spans="1:15" s="1552" customFormat="1" ht="18.75" hidden="1" customHeight="1">
      <c r="A52" s="1700" t="s">
        <v>261</v>
      </c>
      <c r="B52" s="293"/>
      <c r="C52" s="2170"/>
      <c r="D52" s="1953"/>
      <c r="E52" s="2009" t="str">
        <f>INDEX(PT_DIFFERENTIATION_VTAR,MATCH(A52,PT_DIFFERENTIATION_VTAR_ID,0))</f>
        <v>Тариф на транспортировку сточных вод</v>
      </c>
      <c r="F52" s="2009" t="str">
        <f>INDEX(PT_DIFFERENTIATION_VDET,MATCH(A52,PT_DIFFERENTIATION_VTAR_ID,0))</f>
        <v/>
      </c>
      <c r="G52" s="1686"/>
      <c r="H52" s="1655"/>
      <c r="I52" s="1693"/>
      <c r="J52" s="1692"/>
      <c r="K52" s="1685" t="s">
        <v>297</v>
      </c>
      <c r="L52" s="1919"/>
      <c r="M52" s="256"/>
      <c r="N52" s="1541"/>
      <c r="O52" s="1541"/>
    </row>
    <row r="53" spans="1:15" s="1552" customFormat="1" ht="18.75" hidden="1" customHeight="1">
      <c r="A53" s="1700"/>
      <c r="B53" s="293" t="s">
        <v>1672</v>
      </c>
      <c r="C53" s="2170"/>
      <c r="D53" s="1953"/>
      <c r="E53" s="2009"/>
      <c r="F53" s="2009"/>
      <c r="G53" s="329"/>
      <c r="H53" s="324" t="s">
        <v>1570</v>
      </c>
      <c r="I53" s="270"/>
      <c r="J53" s="330"/>
      <c r="K53" s="118"/>
      <c r="L53" s="1919"/>
      <c r="M53" s="256"/>
      <c r="N53" s="1541"/>
      <c r="O53" s="1541"/>
    </row>
    <row r="54" spans="1:15" s="1552" customFormat="1" ht="18.75" hidden="1" customHeight="1">
      <c r="A54" s="1700" t="s">
        <v>266</v>
      </c>
      <c r="B54" s="293"/>
      <c r="C54" s="2170"/>
      <c r="D54" s="1953"/>
      <c r="E54" s="2009" t="str">
        <f>INDEX(PT_DIFFERENTIATION_VTAR,MATCH(A54,PT_DIFFERENTIATION_VTAR_ID,0))</f>
        <v>Тариф на подключение (технологическое присоединение) к централизованной системе водоотведения</v>
      </c>
      <c r="F54" s="2009" t="str">
        <f>INDEX(PT_DIFFERENTIATION_VDET,MATCH(A54,PT_DIFFERENTIATION_VTAR_ID,0))</f>
        <v/>
      </c>
      <c r="G54" s="1686"/>
      <c r="H54" s="1655"/>
      <c r="I54" s="1693"/>
      <c r="J54" s="1692"/>
      <c r="K54" s="1685" t="s">
        <v>297</v>
      </c>
      <c r="L54" s="1919"/>
      <c r="M54" s="256"/>
      <c r="N54" s="1541"/>
      <c r="O54" s="1541"/>
    </row>
    <row r="55" spans="1:15" s="1552" customFormat="1" ht="18.75" hidden="1" customHeight="1">
      <c r="A55" s="1700"/>
      <c r="B55" s="293" t="s">
        <v>1672</v>
      </c>
      <c r="C55" s="2170"/>
      <c r="D55" s="1953"/>
      <c r="E55" s="2009"/>
      <c r="F55" s="2009"/>
      <c r="G55" s="329"/>
      <c r="H55" s="324" t="s">
        <v>1570</v>
      </c>
      <c r="I55" s="270"/>
      <c r="J55" s="330"/>
      <c r="K55" s="118"/>
      <c r="L55" s="1919"/>
      <c r="M55" s="256"/>
      <c r="N55" s="1541"/>
      <c r="O55" s="1541"/>
    </row>
    <row r="56" spans="1:15" ht="18.75" customHeight="1">
      <c r="A56" s="1700"/>
      <c r="C56" s="300"/>
      <c r="D56" s="67" t="s">
        <v>110</v>
      </c>
      <c r="E56" s="2160" t="str">
        <f>"Долгосрочные параметры регулирования (в случае если их установление предусмотрено выбранным методом регулирования тарифов в сфере "&amp;TEMPLATE_SPHERE_RUS&amp;")"</f>
        <v>Долгосрочные параметры регулирования (в случае если их установление предусмотрено выбранным методом регулирования тарифов в сфере холодного водоснабжения)</v>
      </c>
      <c r="F56" s="2160"/>
      <c r="G56" s="2160"/>
      <c r="H56" s="2160"/>
      <c r="I56" s="2160"/>
      <c r="J56" s="2160"/>
      <c r="K56" s="2160"/>
      <c r="L56" s="211"/>
      <c r="M56" s="256"/>
    </row>
    <row r="57" spans="1:15" ht="33.75" customHeight="1">
      <c r="A57" s="1700"/>
      <c r="C57" s="300"/>
      <c r="D57" s="328"/>
      <c r="E57" s="115" t="s">
        <v>297</v>
      </c>
      <c r="F57" s="115" t="s">
        <v>297</v>
      </c>
      <c r="G57" s="1965" t="s">
        <v>297</v>
      </c>
      <c r="H57" s="1979"/>
      <c r="I57" s="115" t="s">
        <v>297</v>
      </c>
      <c r="J57" s="115" t="s">
        <v>297</v>
      </c>
      <c r="K57" s="331"/>
      <c r="L57" s="266" t="s">
        <v>1673</v>
      </c>
      <c r="M57" s="256"/>
    </row>
    <row r="58" spans="1:15" ht="18.75" customHeight="1">
      <c r="A58" s="1700"/>
      <c r="C58" s="300"/>
      <c r="D58" s="67" t="s">
        <v>90</v>
      </c>
      <c r="E58" s="2160" t="s">
        <v>1674</v>
      </c>
      <c r="F58" s="2160"/>
      <c r="G58" s="2160"/>
      <c r="H58" s="2160"/>
      <c r="I58" s="2160"/>
      <c r="J58" s="2160"/>
      <c r="K58" s="2160"/>
      <c r="L58" s="211"/>
      <c r="M58" s="256"/>
    </row>
    <row r="59" spans="1:15" s="1552" customFormat="1" ht="56.25" hidden="1" customHeight="1">
      <c r="A59" s="1700" t="s">
        <v>160</v>
      </c>
      <c r="B59" s="293"/>
      <c r="C59" s="2170"/>
      <c r="D59" s="1953"/>
      <c r="E59" s="2009" t="str">
        <f>INDEX(PT_DIFFERENTIATION_VTAR,MATCH(A59,PT_DIFFERENTIATION_VTAR_ID,0))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F59" s="2009" t="str">
        <f>INDEX(PT_DIFFERENTIATION_VDET,MATCH(A59,PT_DIFFERENTIATION_VTAR_ID,0))</f>
        <v/>
      </c>
      <c r="G59" s="1686"/>
      <c r="H59" s="1655"/>
      <c r="I59" s="1693"/>
      <c r="J59" s="1698"/>
      <c r="K59" s="1685" t="s">
        <v>297</v>
      </c>
      <c r="L59" s="1918"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"&amp;"Величина необходимой валовой выручки указывается в колонке «Информация» в тыс. руб.В случае дифференциации необходимой валовой выручки по видам тарифов и (или) по срокам действия тарифов информация указывается в отдельных строках."</f>
        <v>Значение в колонке «Вид тарифа» выбирается из перечня видов тарифов в сфере холодного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необходимой валовой выручки указывается в колонке «Информация» в тыс. руб.В случае дифференциации необходимой валовой выручки по видам тарифов и (или) по срокам действия тарифов информация указывается в отдельных строках.</v>
      </c>
      <c r="M59" s="256"/>
      <c r="N59" s="1541"/>
      <c r="O59" s="1541"/>
    </row>
    <row r="60" spans="1:15" s="1552" customFormat="1" ht="18.75" hidden="1" customHeight="1">
      <c r="A60" s="1700"/>
      <c r="B60" s="293" t="s">
        <v>1675</v>
      </c>
      <c r="C60" s="2170"/>
      <c r="D60" s="1953"/>
      <c r="E60" s="2009"/>
      <c r="F60" s="2009"/>
      <c r="G60" s="329"/>
      <c r="H60" s="324" t="s">
        <v>1570</v>
      </c>
      <c r="I60" s="270"/>
      <c r="J60" s="330"/>
      <c r="K60" s="118"/>
      <c r="L60" s="1919"/>
      <c r="M60" s="256"/>
      <c r="N60" s="1541"/>
      <c r="O60" s="1541"/>
    </row>
    <row r="61" spans="1:15" s="1552" customFormat="1" ht="26.25" hidden="1" customHeight="1">
      <c r="A61" s="1700" t="s">
        <v>166</v>
      </c>
      <c r="B61" s="293"/>
      <c r="C61" s="2170"/>
      <c r="D61" s="1953"/>
      <c r="E61" s="2009" t="str">
        <f>INDEX(PT_DIFFERENTIATION_VTAR,MATCH(A61,PT_DIFFERENTIATION_VTAR_ID,0))</f>
        <v>Тарифы на тепловую энергию (мощность), поставляемую теплоснабжающими организациями потребителям, другим теплоснабжающим организациям</v>
      </c>
      <c r="F61" s="2009" t="str">
        <f>INDEX(PT_DIFFERENTIATION_VDET,MATCH(A61,PT_DIFFERENTIATION_VTAR_ID,0))</f>
        <v/>
      </c>
      <c r="G61" s="1686"/>
      <c r="H61" s="1655"/>
      <c r="I61" s="1693"/>
      <c r="J61" s="1698"/>
      <c r="K61" s="1685" t="s">
        <v>297</v>
      </c>
      <c r="L61" s="1920"/>
      <c r="M61" s="256"/>
      <c r="N61" s="1541"/>
      <c r="O61" s="1541"/>
    </row>
    <row r="62" spans="1:15" s="1552" customFormat="1" ht="18.75" hidden="1" customHeight="1">
      <c r="A62" s="1700"/>
      <c r="B62" s="293" t="s">
        <v>1675</v>
      </c>
      <c r="C62" s="2170"/>
      <c r="D62" s="1953"/>
      <c r="E62" s="2009"/>
      <c r="F62" s="2009"/>
      <c r="G62" s="329"/>
      <c r="H62" s="324" t="s">
        <v>1570</v>
      </c>
      <c r="I62" s="270"/>
      <c r="J62" s="330"/>
      <c r="K62" s="118"/>
      <c r="L62" s="263"/>
      <c r="M62" s="256"/>
      <c r="N62" s="1541"/>
      <c r="O62" s="1541"/>
    </row>
    <row r="63" spans="1:15" s="1552" customFormat="1" ht="18.75" hidden="1" customHeight="1">
      <c r="A63" s="1700" t="s">
        <v>172</v>
      </c>
      <c r="B63" s="293"/>
      <c r="C63" s="2170"/>
      <c r="D63" s="1953"/>
      <c r="E63" s="2009" t="str">
        <f>INDEX(PT_DIFFERENTIATION_VTAR,MATCH(A63,PT_DIFFERENTIATION_VTAR_ID,0))</f>
        <v>Тарифы на теплоноситель, поставляемый теплоснабжающими организациями потребителям, другим теплоснабжающим организациям</v>
      </c>
      <c r="F63" s="2009" t="str">
        <f>INDEX(PT_DIFFERENTIATION_VDET,MATCH(A63,PT_DIFFERENTIATION_VTAR_ID,0))</f>
        <v/>
      </c>
      <c r="G63" s="1686"/>
      <c r="H63" s="1655"/>
      <c r="I63" s="1693"/>
      <c r="J63" s="1698"/>
      <c r="K63" s="1685" t="s">
        <v>297</v>
      </c>
      <c r="L63" s="263"/>
      <c r="M63" s="256"/>
      <c r="N63" s="1541"/>
      <c r="O63" s="1541"/>
    </row>
    <row r="64" spans="1:15" s="1552" customFormat="1" ht="18.75" hidden="1" customHeight="1">
      <c r="A64" s="1700"/>
      <c r="B64" s="293" t="s">
        <v>1675</v>
      </c>
      <c r="C64" s="2170"/>
      <c r="D64" s="1953"/>
      <c r="E64" s="2009"/>
      <c r="F64" s="2009"/>
      <c r="G64" s="329"/>
      <c r="H64" s="324" t="s">
        <v>1570</v>
      </c>
      <c r="I64" s="270"/>
      <c r="J64" s="330"/>
      <c r="K64" s="118"/>
      <c r="L64" s="263"/>
      <c r="M64" s="256"/>
      <c r="N64" s="1541"/>
      <c r="O64" s="1541"/>
    </row>
    <row r="65" spans="1:15" s="1552" customFormat="1" ht="41.25" hidden="1" customHeight="1">
      <c r="A65" s="1700" t="s">
        <v>178</v>
      </c>
      <c r="B65" s="293"/>
      <c r="C65" s="2170"/>
      <c r="D65" s="1953"/>
      <c r="E65" s="2009" t="str">
        <f>INDEX(PT_DIFFERENTIATION_VTAR,MATCH(A65,PT_DIFFERENTIATION_VTAR_ID,0))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F65" s="2009" t="str">
        <f>INDEX(PT_DIFFERENTIATION_VDET,MATCH(A65,PT_DIFFERENTIATION_VTAR_ID,0))</f>
        <v/>
      </c>
      <c r="G65" s="1686"/>
      <c r="H65" s="1655"/>
      <c r="I65" s="1693"/>
      <c r="J65" s="1698"/>
      <c r="K65" s="1685" t="s">
        <v>297</v>
      </c>
      <c r="L65" s="263"/>
      <c r="M65" s="256"/>
      <c r="N65" s="1541"/>
      <c r="O65" s="1541"/>
    </row>
    <row r="66" spans="1:15" s="1552" customFormat="1" ht="18.75" hidden="1" customHeight="1">
      <c r="A66" s="1700"/>
      <c r="B66" s="293" t="s">
        <v>1675</v>
      </c>
      <c r="C66" s="2170"/>
      <c r="D66" s="1953"/>
      <c r="E66" s="2009"/>
      <c r="F66" s="2009"/>
      <c r="G66" s="329"/>
      <c r="H66" s="324" t="s">
        <v>1570</v>
      </c>
      <c r="I66" s="270"/>
      <c r="J66" s="330"/>
      <c r="K66" s="118"/>
      <c r="L66" s="263"/>
      <c r="M66" s="256"/>
      <c r="N66" s="1541"/>
      <c r="O66" s="1541"/>
    </row>
    <row r="67" spans="1:15" s="1552" customFormat="1" ht="18.75" hidden="1" customHeight="1">
      <c r="A67" s="1700" t="s">
        <v>184</v>
      </c>
      <c r="B67" s="293"/>
      <c r="C67" s="2170"/>
      <c r="D67" s="1953"/>
      <c r="E67" s="2009" t="str">
        <f>INDEX(PT_DIFFERENTIATION_VTAR,MATCH(A67,PT_DIFFERENTIATION_VTAR_ID,0))</f>
        <v>Тарифы на услуги по передаче тепловой энергии</v>
      </c>
      <c r="F67" s="2009" t="str">
        <f>INDEX(PT_DIFFERENTIATION_VDET,MATCH(A67,PT_DIFFERENTIATION_VTAR_ID,0))</f>
        <v/>
      </c>
      <c r="G67" s="1686"/>
      <c r="H67" s="1655"/>
      <c r="I67" s="1693"/>
      <c r="J67" s="1698"/>
      <c r="K67" s="1685" t="s">
        <v>297</v>
      </c>
      <c r="L67" s="263"/>
      <c r="M67" s="256"/>
      <c r="N67" s="1541"/>
      <c r="O67" s="1541"/>
    </row>
    <row r="68" spans="1:15" s="1552" customFormat="1" ht="18.75" hidden="1" customHeight="1">
      <c r="A68" s="1700"/>
      <c r="B68" s="293" t="s">
        <v>1675</v>
      </c>
      <c r="C68" s="2170"/>
      <c r="D68" s="1953"/>
      <c r="E68" s="2009"/>
      <c r="F68" s="2009"/>
      <c r="G68" s="329"/>
      <c r="H68" s="324" t="s">
        <v>1570</v>
      </c>
      <c r="I68" s="270"/>
      <c r="J68" s="330"/>
      <c r="K68" s="118"/>
      <c r="L68" s="263"/>
      <c r="M68" s="256"/>
      <c r="N68" s="1541"/>
      <c r="O68" s="1541"/>
    </row>
    <row r="69" spans="1:15" s="1552" customFormat="1" ht="18.75" hidden="1" customHeight="1">
      <c r="A69" s="1700" t="s">
        <v>190</v>
      </c>
      <c r="B69" s="293"/>
      <c r="C69" s="2170"/>
      <c r="D69" s="1953"/>
      <c r="E69" s="2009" t="str">
        <f>INDEX(PT_DIFFERENTIATION_VTAR,MATCH(A69,PT_DIFFERENTIATION_VTAR_ID,0))</f>
        <v>Тарифы на услуги по передаче теплоносителя</v>
      </c>
      <c r="F69" s="2009" t="str">
        <f>INDEX(PT_DIFFERENTIATION_VDET,MATCH(A69,PT_DIFFERENTIATION_VTAR_ID,0))</f>
        <v/>
      </c>
      <c r="G69" s="1686"/>
      <c r="H69" s="1655"/>
      <c r="I69" s="1693"/>
      <c r="J69" s="1698"/>
      <c r="K69" s="1685" t="s">
        <v>297</v>
      </c>
      <c r="L69" s="263"/>
      <c r="M69" s="256"/>
      <c r="N69" s="1541"/>
      <c r="O69" s="1541"/>
    </row>
    <row r="70" spans="1:15" s="1552" customFormat="1" ht="18.75" hidden="1" customHeight="1">
      <c r="A70" s="1700"/>
      <c r="B70" s="293" t="s">
        <v>1675</v>
      </c>
      <c r="C70" s="2170"/>
      <c r="D70" s="1953"/>
      <c r="E70" s="2009"/>
      <c r="F70" s="2009"/>
      <c r="G70" s="329"/>
      <c r="H70" s="324" t="s">
        <v>1570</v>
      </c>
      <c r="I70" s="270"/>
      <c r="J70" s="330"/>
      <c r="K70" s="118"/>
      <c r="L70" s="263"/>
      <c r="M70" s="256"/>
      <c r="N70" s="1541"/>
      <c r="O70" s="1541"/>
    </row>
    <row r="71" spans="1:15" s="1552" customFormat="1" ht="18.75" hidden="1" customHeight="1">
      <c r="A71" s="1700" t="s">
        <v>196</v>
      </c>
      <c r="B71" s="293"/>
      <c r="C71" s="2170"/>
      <c r="D71" s="1953"/>
      <c r="E71" s="2009" t="str">
        <f>INDEX(PT_DIFFERENTIATION_VTAR,MATCH(A71,PT_DIFFERENTIATION_VTAR_ID,0))</f>
        <v>Плата за услуги по поддержанию резервной тепловой мощности при отсутствии потребления тепловой энергии</v>
      </c>
      <c r="F71" s="2009" t="str">
        <f>INDEX(PT_DIFFERENTIATION_VDET,MATCH(A71,PT_DIFFERENTIATION_VTAR_ID,0))</f>
        <v/>
      </c>
      <c r="G71" s="1686"/>
      <c r="H71" s="1655"/>
      <c r="I71" s="1693"/>
      <c r="J71" s="1698"/>
      <c r="K71" s="1685" t="s">
        <v>297</v>
      </c>
      <c r="L71" s="263"/>
      <c r="M71" s="256"/>
      <c r="N71" s="1541"/>
      <c r="O71" s="1541"/>
    </row>
    <row r="72" spans="1:15" s="1552" customFormat="1" ht="18.75" hidden="1" customHeight="1">
      <c r="A72" s="1700"/>
      <c r="B72" s="293" t="s">
        <v>1675</v>
      </c>
      <c r="C72" s="2170"/>
      <c r="D72" s="1953"/>
      <c r="E72" s="2009"/>
      <c r="F72" s="2009"/>
      <c r="G72" s="329"/>
      <c r="H72" s="324" t="s">
        <v>1570</v>
      </c>
      <c r="I72" s="270"/>
      <c r="J72" s="330"/>
      <c r="K72" s="118"/>
      <c r="L72" s="263"/>
      <c r="M72" s="256"/>
      <c r="N72" s="1541"/>
      <c r="O72" s="1541"/>
    </row>
    <row r="73" spans="1:15" s="1552" customFormat="1" ht="18.75" hidden="1" customHeight="1">
      <c r="A73" s="1700" t="s">
        <v>202</v>
      </c>
      <c r="B73" s="293"/>
      <c r="C73" s="2170"/>
      <c r="D73" s="1953"/>
      <c r="E73" s="2009" t="str">
        <f>INDEX(PT_DIFFERENTIATION_VTAR,MATCH(A73,PT_DIFFERENTIATION_VTAR_ID,0))</f>
        <v>Плата за подключение (технологическое присоединение) к системе теплоснабжения</v>
      </c>
      <c r="F73" s="2009" t="str">
        <f>INDEX(PT_DIFFERENTIATION_VDET,MATCH(A73,PT_DIFFERENTIATION_VTAR_ID,0))</f>
        <v/>
      </c>
      <c r="G73" s="1686"/>
      <c r="H73" s="1655"/>
      <c r="I73" s="1693"/>
      <c r="J73" s="1698"/>
      <c r="K73" s="1685" t="s">
        <v>297</v>
      </c>
      <c r="L73" s="263"/>
      <c r="M73" s="256"/>
      <c r="N73" s="1541"/>
      <c r="O73" s="1541"/>
    </row>
    <row r="74" spans="1:15" s="1552" customFormat="1" ht="18.75" hidden="1" customHeight="1">
      <c r="A74" s="1700"/>
      <c r="B74" s="293" t="s">
        <v>1675</v>
      </c>
      <c r="C74" s="2170"/>
      <c r="D74" s="1953"/>
      <c r="E74" s="2009"/>
      <c r="F74" s="2009"/>
      <c r="G74" s="329"/>
      <c r="H74" s="324" t="s">
        <v>1570</v>
      </c>
      <c r="I74" s="270"/>
      <c r="J74" s="330"/>
      <c r="K74" s="118"/>
      <c r="L74" s="263"/>
      <c r="M74" s="256"/>
      <c r="N74" s="1541"/>
      <c r="O74" s="1541"/>
    </row>
    <row r="75" spans="1:15" s="1552" customFormat="1" ht="18.75" hidden="1" customHeight="1">
      <c r="A75" s="1700" t="s">
        <v>216</v>
      </c>
      <c r="B75" s="293"/>
      <c r="C75" s="2170"/>
      <c r="D75" s="1953"/>
      <c r="E75" s="2009" t="str">
        <f>INDEX(PT_DIFFERENTIATION_VTAR,MATCH(A75,PT_DIFFERENTIATION_VTAR_ID,0))</f>
        <v>Тариф на питьевую воду (питьевое водоснабжение)</v>
      </c>
      <c r="F75" s="2009" t="str">
        <f>INDEX(PT_DIFFERENTIATION_VDET,MATCH(A75,PT_DIFFERENTIATION_VTAR_ID,0))</f>
        <v/>
      </c>
      <c r="G75" s="1686"/>
      <c r="H75" s="1655"/>
      <c r="I75" s="1693"/>
      <c r="J75" s="1698"/>
      <c r="K75" s="1685" t="s">
        <v>297</v>
      </c>
      <c r="L75" s="263"/>
      <c r="M75" s="256"/>
      <c r="N75" s="1541"/>
      <c r="O75" s="1541"/>
    </row>
    <row r="76" spans="1:15" s="1552" customFormat="1" ht="18.75" hidden="1" customHeight="1">
      <c r="A76" s="1700"/>
      <c r="B76" s="293" t="s">
        <v>1675</v>
      </c>
      <c r="C76" s="2170"/>
      <c r="D76" s="1953"/>
      <c r="E76" s="2009"/>
      <c r="F76" s="2009"/>
      <c r="G76" s="329"/>
      <c r="H76" s="324" t="s">
        <v>1570</v>
      </c>
      <c r="I76" s="270"/>
      <c r="J76" s="330"/>
      <c r="K76" s="118"/>
      <c r="L76" s="263"/>
      <c r="M76" s="256"/>
      <c r="N76" s="1541"/>
      <c r="O76" s="1541"/>
    </row>
    <row r="77" spans="1:15" s="1552" customFormat="1" ht="18.75" hidden="1" customHeight="1">
      <c r="A77" s="1700" t="s">
        <v>221</v>
      </c>
      <c r="B77" s="293"/>
      <c r="C77" s="2170"/>
      <c r="D77" s="1953"/>
      <c r="E77" s="2009" t="str">
        <f>INDEX(PT_DIFFERENTIATION_VTAR,MATCH(A77,PT_DIFFERENTIATION_VTAR_ID,0))</f>
        <v>Тариф на техническую воду</v>
      </c>
      <c r="F77" s="2009" t="str">
        <f>INDEX(PT_DIFFERENTIATION_VDET,MATCH(A77,PT_DIFFERENTIATION_VTAR_ID,0))</f>
        <v/>
      </c>
      <c r="G77" s="1686"/>
      <c r="H77" s="1655"/>
      <c r="I77" s="1693"/>
      <c r="J77" s="1698"/>
      <c r="K77" s="1685" t="s">
        <v>297</v>
      </c>
      <c r="L77" s="263"/>
      <c r="M77" s="256"/>
      <c r="N77" s="1541"/>
      <c r="O77" s="1541"/>
    </row>
    <row r="78" spans="1:15" s="1552" customFormat="1" ht="18.75" hidden="1" customHeight="1">
      <c r="A78" s="1700"/>
      <c r="B78" s="293" t="s">
        <v>1675</v>
      </c>
      <c r="C78" s="2170"/>
      <c r="D78" s="1953"/>
      <c r="E78" s="2009"/>
      <c r="F78" s="2009"/>
      <c r="G78" s="329"/>
      <c r="H78" s="324" t="s">
        <v>1570</v>
      </c>
      <c r="I78" s="270"/>
      <c r="J78" s="330"/>
      <c r="K78" s="118"/>
      <c r="L78" s="263"/>
      <c r="M78" s="256"/>
      <c r="N78" s="1541"/>
      <c r="O78" s="1541"/>
    </row>
    <row r="79" spans="1:15" s="1552" customFormat="1" ht="18.75" hidden="1" customHeight="1">
      <c r="A79" s="1700" t="s">
        <v>226</v>
      </c>
      <c r="B79" s="293"/>
      <c r="C79" s="2170"/>
      <c r="D79" s="1953"/>
      <c r="E79" s="2009" t="str">
        <f>INDEX(PT_DIFFERENTIATION_VTAR,MATCH(A79,PT_DIFFERENTIATION_VTAR_ID,0))</f>
        <v>Тариф на транспортировку воды</v>
      </c>
      <c r="F79" s="2009" t="str">
        <f>INDEX(PT_DIFFERENTIATION_VDET,MATCH(A79,PT_DIFFERENTIATION_VTAR_ID,0))</f>
        <v/>
      </c>
      <c r="G79" s="1686"/>
      <c r="H79" s="1655"/>
      <c r="I79" s="1693"/>
      <c r="J79" s="1698"/>
      <c r="K79" s="1685" t="s">
        <v>297</v>
      </c>
      <c r="L79" s="263"/>
      <c r="M79" s="256"/>
      <c r="N79" s="1541"/>
      <c r="O79" s="1541"/>
    </row>
    <row r="80" spans="1:15" s="1552" customFormat="1" ht="18.75" hidden="1" customHeight="1">
      <c r="A80" s="1700"/>
      <c r="B80" s="293" t="s">
        <v>1675</v>
      </c>
      <c r="C80" s="2170"/>
      <c r="D80" s="1953"/>
      <c r="E80" s="2009"/>
      <c r="F80" s="2009"/>
      <c r="G80" s="329"/>
      <c r="H80" s="324" t="s">
        <v>1570</v>
      </c>
      <c r="I80" s="270"/>
      <c r="J80" s="330"/>
      <c r="K80" s="118"/>
      <c r="L80" s="263"/>
      <c r="M80" s="256"/>
      <c r="N80" s="1541"/>
      <c r="O80" s="1541"/>
    </row>
    <row r="81" spans="1:15" s="1552" customFormat="1" ht="18.75" hidden="1" customHeight="1">
      <c r="A81" s="1700" t="s">
        <v>231</v>
      </c>
      <c r="B81" s="293"/>
      <c r="C81" s="2170"/>
      <c r="D81" s="1953"/>
      <c r="E81" s="2009" t="str">
        <f>INDEX(PT_DIFFERENTIATION_VTAR,MATCH(A81,PT_DIFFERENTIATION_VTAR_ID,0))</f>
        <v>Тариф на подвоз воды</v>
      </c>
      <c r="F81" s="2009" t="str">
        <f>INDEX(PT_DIFFERENTIATION_VDET,MATCH(A81,PT_DIFFERENTIATION_VTAR_ID,0))</f>
        <v/>
      </c>
      <c r="G81" s="1686"/>
      <c r="H81" s="1655"/>
      <c r="I81" s="1693"/>
      <c r="J81" s="1698"/>
      <c r="K81" s="1685" t="s">
        <v>297</v>
      </c>
      <c r="L81" s="263"/>
      <c r="M81" s="256"/>
      <c r="N81" s="1541"/>
      <c r="O81" s="1541"/>
    </row>
    <row r="82" spans="1:15" s="1552" customFormat="1" ht="18.75" hidden="1" customHeight="1">
      <c r="A82" s="1700"/>
      <c r="B82" s="293" t="s">
        <v>1675</v>
      </c>
      <c r="C82" s="2170"/>
      <c r="D82" s="1953"/>
      <c r="E82" s="2009"/>
      <c r="F82" s="2009"/>
      <c r="G82" s="329"/>
      <c r="H82" s="324" t="s">
        <v>1570</v>
      </c>
      <c r="I82" s="270"/>
      <c r="J82" s="330"/>
      <c r="K82" s="118"/>
      <c r="L82" s="263"/>
      <c r="M82" s="256"/>
      <c r="N82" s="1541"/>
      <c r="O82" s="1541"/>
    </row>
    <row r="83" spans="1:15" s="1552" customFormat="1" ht="18.75" hidden="1" customHeight="1">
      <c r="A83" s="1700" t="s">
        <v>236</v>
      </c>
      <c r="B83" s="293"/>
      <c r="C83" s="2170"/>
      <c r="D83" s="1953"/>
      <c r="E83" s="2009" t="str">
        <f>INDEX(PT_DIFFERENTIATION_VTAR,MATCH(A83,PT_DIFFERENTIATION_VTAR_ID,0))</f>
        <v>Тариф на подключение (технологическое присоединение) к централизованной системе холодного водоснабжения</v>
      </c>
      <c r="F83" s="2009" t="str">
        <f>INDEX(PT_DIFFERENTIATION_VDET,MATCH(A83,PT_DIFFERENTIATION_VTAR_ID,0))</f>
        <v/>
      </c>
      <c r="G83" s="1686"/>
      <c r="H83" s="1655"/>
      <c r="I83" s="1693"/>
      <c r="J83" s="1698"/>
      <c r="K83" s="1685" t="s">
        <v>297</v>
      </c>
      <c r="L83" s="263"/>
      <c r="M83" s="256"/>
      <c r="N83" s="1541"/>
      <c r="O83" s="1541"/>
    </row>
    <row r="84" spans="1:15" s="1552" customFormat="1" ht="18.75" hidden="1" customHeight="1">
      <c r="A84" s="1700"/>
      <c r="B84" s="293" t="s">
        <v>1675</v>
      </c>
      <c r="C84" s="2170"/>
      <c r="D84" s="1953"/>
      <c r="E84" s="2009"/>
      <c r="F84" s="2009"/>
      <c r="G84" s="329"/>
      <c r="H84" s="324" t="s">
        <v>1570</v>
      </c>
      <c r="I84" s="270"/>
      <c r="J84" s="330"/>
      <c r="K84" s="118"/>
      <c r="L84" s="263"/>
      <c r="M84" s="256"/>
      <c r="N84" s="1541"/>
      <c r="O84" s="1541"/>
    </row>
    <row r="85" spans="1:15" s="1552" customFormat="1" ht="18.75" hidden="1" customHeight="1">
      <c r="A85" s="1700" t="s">
        <v>241</v>
      </c>
      <c r="B85" s="293"/>
      <c r="C85" s="2170"/>
      <c r="D85" s="1953"/>
      <c r="E85" s="2009" t="str">
        <f>INDEX(PT_DIFFERENTIATION_VTAR,MATCH(A85,PT_DIFFERENTIATION_VTAR_ID,0))</f>
        <v>Тариф на горячую воду (горячее водоснабжение)</v>
      </c>
      <c r="F85" s="2009" t="str">
        <f>INDEX(PT_DIFFERENTIATION_VDET,MATCH(A85,PT_DIFFERENTIATION_VTAR_ID,0))</f>
        <v/>
      </c>
      <c r="G85" s="1686"/>
      <c r="H85" s="1655"/>
      <c r="I85" s="1693"/>
      <c r="J85" s="1698"/>
      <c r="K85" s="1685" t="s">
        <v>297</v>
      </c>
      <c r="L85" s="263"/>
      <c r="M85" s="256"/>
      <c r="N85" s="1541"/>
      <c r="O85" s="1541"/>
    </row>
    <row r="86" spans="1:15" s="1552" customFormat="1" ht="18.75" hidden="1" customHeight="1">
      <c r="A86" s="1700"/>
      <c r="B86" s="293" t="s">
        <v>1675</v>
      </c>
      <c r="C86" s="2170"/>
      <c r="D86" s="1953"/>
      <c r="E86" s="2009"/>
      <c r="F86" s="2009"/>
      <c r="G86" s="329"/>
      <c r="H86" s="324" t="s">
        <v>1570</v>
      </c>
      <c r="I86" s="270"/>
      <c r="J86" s="330"/>
      <c r="K86" s="118"/>
      <c r="L86" s="263"/>
      <c r="M86" s="256"/>
      <c r="N86" s="1541"/>
      <c r="O86" s="1541"/>
    </row>
    <row r="87" spans="1:15" s="1552" customFormat="1" ht="18.75" hidden="1" customHeight="1">
      <c r="A87" s="1700" t="s">
        <v>246</v>
      </c>
      <c r="B87" s="293"/>
      <c r="C87" s="2170"/>
      <c r="D87" s="1953"/>
      <c r="E87" s="2009" t="str">
        <f>INDEX(PT_DIFFERENTIATION_VTAR,MATCH(A87,PT_DIFFERENTIATION_VTAR_ID,0))</f>
        <v>Тариф на транспортировку горячей воды</v>
      </c>
      <c r="F87" s="2009" t="str">
        <f>INDEX(PT_DIFFERENTIATION_VDET,MATCH(A87,PT_DIFFERENTIATION_VTAR_ID,0))</f>
        <v/>
      </c>
      <c r="G87" s="1686"/>
      <c r="H87" s="1655"/>
      <c r="I87" s="1693"/>
      <c r="J87" s="1698"/>
      <c r="K87" s="1685" t="s">
        <v>297</v>
      </c>
      <c r="L87" s="263"/>
      <c r="M87" s="256"/>
      <c r="N87" s="1541"/>
      <c r="O87" s="1541"/>
    </row>
    <row r="88" spans="1:15" s="1552" customFormat="1" ht="18.75" hidden="1" customHeight="1">
      <c r="A88" s="1700"/>
      <c r="B88" s="293" t="s">
        <v>1675</v>
      </c>
      <c r="C88" s="2170"/>
      <c r="D88" s="1953"/>
      <c r="E88" s="2009"/>
      <c r="F88" s="2009"/>
      <c r="G88" s="329"/>
      <c r="H88" s="324" t="s">
        <v>1570</v>
      </c>
      <c r="I88" s="270"/>
      <c r="J88" s="330"/>
      <c r="K88" s="118"/>
      <c r="L88" s="263"/>
      <c r="M88" s="256"/>
      <c r="N88" s="1541"/>
      <c r="O88" s="1541"/>
    </row>
    <row r="89" spans="1:15" s="1552" customFormat="1" ht="18.75" hidden="1" customHeight="1">
      <c r="A89" s="1700" t="s">
        <v>251</v>
      </c>
      <c r="B89" s="293"/>
      <c r="C89" s="2170"/>
      <c r="D89" s="1953"/>
      <c r="E89" s="2009" t="str">
        <f>INDEX(PT_DIFFERENTIATION_VTAR,MATCH(A89,PT_DIFFERENTIATION_VTAR_ID,0))</f>
        <v>Тариф на подключение (технологическое присоединение) к централизованной системе горячего водоснабжения</v>
      </c>
      <c r="F89" s="2009" t="str">
        <f>INDEX(PT_DIFFERENTIATION_VDET,MATCH(A89,PT_DIFFERENTIATION_VTAR_ID,0))</f>
        <v/>
      </c>
      <c r="G89" s="1686"/>
      <c r="H89" s="1655"/>
      <c r="I89" s="1693"/>
      <c r="J89" s="1698"/>
      <c r="K89" s="1685" t="s">
        <v>297</v>
      </c>
      <c r="L89" s="263"/>
      <c r="M89" s="256"/>
      <c r="N89" s="1541"/>
      <c r="O89" s="1541"/>
    </row>
    <row r="90" spans="1:15" s="1552" customFormat="1" ht="18.75" hidden="1" customHeight="1">
      <c r="A90" s="1700"/>
      <c r="B90" s="293" t="s">
        <v>1675</v>
      </c>
      <c r="C90" s="2170"/>
      <c r="D90" s="1953"/>
      <c r="E90" s="2009"/>
      <c r="F90" s="2009"/>
      <c r="G90" s="329"/>
      <c r="H90" s="324" t="s">
        <v>1570</v>
      </c>
      <c r="I90" s="270"/>
      <c r="J90" s="330"/>
      <c r="K90" s="118"/>
      <c r="L90" s="263"/>
      <c r="M90" s="256"/>
      <c r="N90" s="1541"/>
      <c r="O90" s="1541"/>
    </row>
    <row r="91" spans="1:15" s="1552" customFormat="1" ht="18.75" hidden="1" customHeight="1">
      <c r="A91" s="1700" t="s">
        <v>256</v>
      </c>
      <c r="B91" s="293"/>
      <c r="C91" s="2170"/>
      <c r="D91" s="1953"/>
      <c r="E91" s="2009" t="str">
        <f>INDEX(PT_DIFFERENTIATION_VTAR,MATCH(A91,PT_DIFFERENTIATION_VTAR_ID,0))</f>
        <v>Тариф на водоотведение</v>
      </c>
      <c r="F91" s="2009" t="str">
        <f>INDEX(PT_DIFFERENTIATION_VDET,MATCH(A91,PT_DIFFERENTIATION_VTAR_ID,0))</f>
        <v/>
      </c>
      <c r="G91" s="1686"/>
      <c r="H91" s="1655"/>
      <c r="I91" s="1693"/>
      <c r="J91" s="1698"/>
      <c r="K91" s="1685" t="s">
        <v>297</v>
      </c>
      <c r="L91" s="263"/>
      <c r="M91" s="256"/>
      <c r="N91" s="1541"/>
      <c r="O91" s="1541"/>
    </row>
    <row r="92" spans="1:15" s="1552" customFormat="1" ht="18.75" hidden="1" customHeight="1">
      <c r="A92" s="1700"/>
      <c r="B92" s="293" t="s">
        <v>1675</v>
      </c>
      <c r="C92" s="2170"/>
      <c r="D92" s="1953"/>
      <c r="E92" s="2009"/>
      <c r="F92" s="2009"/>
      <c r="G92" s="329"/>
      <c r="H92" s="324" t="s">
        <v>1570</v>
      </c>
      <c r="I92" s="270"/>
      <c r="J92" s="330"/>
      <c r="K92" s="118"/>
      <c r="L92" s="263"/>
      <c r="M92" s="256"/>
      <c r="N92" s="1541"/>
      <c r="O92" s="1541"/>
    </row>
    <row r="93" spans="1:15" s="1552" customFormat="1" ht="18.75" hidden="1" customHeight="1">
      <c r="A93" s="1700" t="s">
        <v>261</v>
      </c>
      <c r="B93" s="293"/>
      <c r="C93" s="2170"/>
      <c r="D93" s="1953"/>
      <c r="E93" s="2009" t="str">
        <f>INDEX(PT_DIFFERENTIATION_VTAR,MATCH(A93,PT_DIFFERENTIATION_VTAR_ID,0))</f>
        <v>Тариф на транспортировку сточных вод</v>
      </c>
      <c r="F93" s="2009" t="str">
        <f>INDEX(PT_DIFFERENTIATION_VDET,MATCH(A93,PT_DIFFERENTIATION_VTAR_ID,0))</f>
        <v/>
      </c>
      <c r="G93" s="1686"/>
      <c r="H93" s="1655"/>
      <c r="I93" s="1693"/>
      <c r="J93" s="1698"/>
      <c r="K93" s="1685" t="s">
        <v>297</v>
      </c>
      <c r="L93" s="263"/>
      <c r="M93" s="256"/>
      <c r="N93" s="1541"/>
      <c r="O93" s="1541"/>
    </row>
    <row r="94" spans="1:15" s="1552" customFormat="1" ht="18.75" hidden="1" customHeight="1">
      <c r="A94" s="1700"/>
      <c r="B94" s="293" t="s">
        <v>1675</v>
      </c>
      <c r="C94" s="2170"/>
      <c r="D94" s="1953"/>
      <c r="E94" s="2009"/>
      <c r="F94" s="2009"/>
      <c r="G94" s="329"/>
      <c r="H94" s="324" t="s">
        <v>1570</v>
      </c>
      <c r="I94" s="270"/>
      <c r="J94" s="330"/>
      <c r="K94" s="118"/>
      <c r="L94" s="263"/>
      <c r="M94" s="256"/>
      <c r="N94" s="1541"/>
      <c r="O94" s="1541"/>
    </row>
    <row r="95" spans="1:15" s="1552" customFormat="1" ht="18.75" hidden="1" customHeight="1">
      <c r="A95" s="1700" t="s">
        <v>266</v>
      </c>
      <c r="B95" s="293"/>
      <c r="C95" s="2170"/>
      <c r="D95" s="1953"/>
      <c r="E95" s="2009" t="str">
        <f>INDEX(PT_DIFFERENTIATION_VTAR,MATCH(A95,PT_DIFFERENTIATION_VTAR_ID,0))</f>
        <v>Тариф на подключение (технологическое присоединение) к централизованной системе водоотведения</v>
      </c>
      <c r="F95" s="2009" t="str">
        <f>INDEX(PT_DIFFERENTIATION_VDET,MATCH(A95,PT_DIFFERENTIATION_VTAR_ID,0))</f>
        <v/>
      </c>
      <c r="G95" s="1686"/>
      <c r="H95" s="1655"/>
      <c r="I95" s="1693"/>
      <c r="J95" s="1698"/>
      <c r="K95" s="1685" t="s">
        <v>297</v>
      </c>
      <c r="L95" s="263"/>
      <c r="M95" s="256"/>
      <c r="N95" s="1541"/>
      <c r="O95" s="1541"/>
    </row>
    <row r="96" spans="1:15" s="1552" customFormat="1" ht="18.75" hidden="1" customHeight="1">
      <c r="A96" s="1700"/>
      <c r="B96" s="293" t="s">
        <v>1675</v>
      </c>
      <c r="C96" s="2170"/>
      <c r="D96" s="1953"/>
      <c r="E96" s="2009"/>
      <c r="F96" s="2009"/>
      <c r="G96" s="329"/>
      <c r="H96" s="324" t="s">
        <v>1570</v>
      </c>
      <c r="I96" s="270"/>
      <c r="J96" s="330"/>
      <c r="K96" s="118"/>
      <c r="L96" s="263"/>
      <c r="M96" s="256"/>
      <c r="N96" s="1541"/>
      <c r="O96" s="1541"/>
    </row>
    <row r="97" spans="1:15" ht="18.75" customHeight="1">
      <c r="A97" s="1700"/>
      <c r="C97" s="300"/>
      <c r="D97" s="67" t="s">
        <v>91</v>
      </c>
      <c r="E97" s="2160" t="str">
        <f>"Годовой объем "&amp;IF(TEMPLATE_SPHERE="HEAT","полезного отпуска тепловой энергии (теплоносителя)","потребителям воды")</f>
        <v>Годовой объем потребителям воды</v>
      </c>
      <c r="F97" s="2160"/>
      <c r="G97" s="2160"/>
      <c r="H97" s="2160"/>
      <c r="I97" s="2160"/>
      <c r="J97" s="2160"/>
      <c r="K97" s="2160"/>
      <c r="L97" s="211"/>
      <c r="M97" s="256"/>
    </row>
    <row r="98" spans="1:15" s="1552" customFormat="1" ht="56.25" hidden="1" customHeight="1">
      <c r="A98" s="1700" t="s">
        <v>160</v>
      </c>
      <c r="B98" s="293"/>
      <c r="C98" s="2170"/>
      <c r="D98" s="1953"/>
      <c r="E98" s="2009" t="str">
        <f>INDEX(PT_DIFFERENTIATION_VTAR,MATCH(A98,PT_DIFFERENTIATION_VTAR_ID,0))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F98" s="2009" t="str">
        <f>INDEX(PT_DIFFERENTIATION_VDET,MATCH(A98,PT_DIFFERENTIATION_VTAR_ID,0))</f>
        <v/>
      </c>
      <c r="G98" s="1686"/>
      <c r="H98" s="1655"/>
      <c r="I98" s="1693"/>
      <c r="J98" s="1698"/>
      <c r="K98" s="1685" t="s">
        <v>297</v>
      </c>
      <c r="L98" s="1918"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Величина годового объема "&amp;IF(TEMPLATE_SPHERE="HEAT","полезного отпуска тепловой энергии (теплоносителя)","отпущенной потребителям воды")&amp;" указывается в колонке «Информация» в тыс. "&amp;IF(TEMPLATE_SPHERE="HEAT","Гкал","куб. м.")&amp;"
В случае дифференциации "&amp;IF(TEMPLATE_SPHERE="HEAT","полезного отпуска тепловой энергии (теплоносителя)","отпущенной потребителям воды")&amp;" по видам тарифов и (или) по срокам действия тарифов информация указывается в отдельных строках."</f>
        <v>Значение в колонке «Вид тарифа» выбирается из перечня видов тарифов в сфере холодного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годового объема отпущенной потребителям воды указывается в колонке «Информация» в тыс. куб. м.
В случае дифференциации отпущенной потребителям воды по видам тарифов и (или) по срокам действия тарифов информация указывается в отдельных строках.</v>
      </c>
      <c r="M98" s="256"/>
      <c r="N98" s="1541"/>
      <c r="O98" s="1541"/>
    </row>
    <row r="99" spans="1:15" s="1552" customFormat="1" ht="18.75" hidden="1" customHeight="1">
      <c r="A99" s="1700"/>
      <c r="B99" s="293" t="s">
        <v>1675</v>
      </c>
      <c r="C99" s="2170"/>
      <c r="D99" s="1953"/>
      <c r="E99" s="2009"/>
      <c r="F99" s="2009"/>
      <c r="G99" s="329"/>
      <c r="H99" s="324" t="s">
        <v>1570</v>
      </c>
      <c r="I99" s="270"/>
      <c r="J99" s="330"/>
      <c r="K99" s="118"/>
      <c r="L99" s="1919"/>
      <c r="M99" s="256"/>
      <c r="N99" s="1541"/>
      <c r="O99" s="1541"/>
    </row>
    <row r="100" spans="1:15" s="1552" customFormat="1" ht="26.25" hidden="1" customHeight="1">
      <c r="A100" s="1700" t="s">
        <v>166</v>
      </c>
      <c r="B100" s="293"/>
      <c r="C100" s="2170"/>
      <c r="D100" s="1953"/>
      <c r="E100" s="2009" t="str">
        <f>INDEX(PT_DIFFERENTIATION_VTAR,MATCH(A100,PT_DIFFERENTIATION_VTAR_ID,0))</f>
        <v>Тарифы на тепловую энергию (мощность), поставляемую теплоснабжающими организациями потребителям, другим теплоснабжающим организациям</v>
      </c>
      <c r="F100" s="2009" t="str">
        <f>INDEX(PT_DIFFERENTIATION_VDET,MATCH(A100,PT_DIFFERENTIATION_VTAR_ID,0))</f>
        <v/>
      </c>
      <c r="G100" s="1686"/>
      <c r="H100" s="1655"/>
      <c r="I100" s="1693"/>
      <c r="J100" s="1698"/>
      <c r="K100" s="1685" t="s">
        <v>297</v>
      </c>
      <c r="L100" s="1920"/>
      <c r="M100" s="256"/>
      <c r="N100" s="1541"/>
      <c r="O100" s="1541"/>
    </row>
    <row r="101" spans="1:15" s="1552" customFormat="1" ht="18.75" hidden="1" customHeight="1">
      <c r="A101" s="1700"/>
      <c r="B101" s="293" t="s">
        <v>1675</v>
      </c>
      <c r="C101" s="2170"/>
      <c r="D101" s="1953"/>
      <c r="E101" s="2009"/>
      <c r="F101" s="2009"/>
      <c r="G101" s="329"/>
      <c r="H101" s="324" t="s">
        <v>1570</v>
      </c>
      <c r="I101" s="270"/>
      <c r="J101" s="330"/>
      <c r="K101" s="118"/>
      <c r="L101" s="263"/>
      <c r="M101" s="256"/>
      <c r="N101" s="1541"/>
      <c r="O101" s="1541"/>
    </row>
    <row r="102" spans="1:15" s="1552" customFormat="1" ht="18.75" hidden="1" customHeight="1">
      <c r="A102" s="1700" t="s">
        <v>172</v>
      </c>
      <c r="B102" s="293"/>
      <c r="C102" s="2170"/>
      <c r="D102" s="1953"/>
      <c r="E102" s="2009" t="str">
        <f>INDEX(PT_DIFFERENTIATION_VTAR,MATCH(A102,PT_DIFFERENTIATION_VTAR_ID,0))</f>
        <v>Тарифы на теплоноситель, поставляемый теплоснабжающими организациями потребителям, другим теплоснабжающим организациям</v>
      </c>
      <c r="F102" s="2009" t="str">
        <f>INDEX(PT_DIFFERENTIATION_VDET,MATCH(A102,PT_DIFFERENTIATION_VTAR_ID,0))</f>
        <v/>
      </c>
      <c r="G102" s="1686"/>
      <c r="H102" s="1655"/>
      <c r="I102" s="1693"/>
      <c r="J102" s="1698"/>
      <c r="K102" s="1685" t="s">
        <v>297</v>
      </c>
      <c r="L102" s="263"/>
      <c r="M102" s="256"/>
      <c r="N102" s="1541"/>
      <c r="O102" s="1541"/>
    </row>
    <row r="103" spans="1:15" s="1552" customFormat="1" ht="18.75" hidden="1" customHeight="1">
      <c r="A103" s="1700"/>
      <c r="B103" s="293" t="s">
        <v>1675</v>
      </c>
      <c r="C103" s="2170"/>
      <c r="D103" s="1953"/>
      <c r="E103" s="2009"/>
      <c r="F103" s="2009"/>
      <c r="G103" s="329"/>
      <c r="H103" s="324" t="s">
        <v>1570</v>
      </c>
      <c r="I103" s="270"/>
      <c r="J103" s="330"/>
      <c r="K103" s="118"/>
      <c r="L103" s="263"/>
      <c r="M103" s="256"/>
      <c r="N103" s="1541"/>
      <c r="O103" s="1541"/>
    </row>
    <row r="104" spans="1:15" s="1552" customFormat="1" ht="41.25" hidden="1" customHeight="1">
      <c r="A104" s="1700" t="s">
        <v>178</v>
      </c>
      <c r="B104" s="293"/>
      <c r="C104" s="2170"/>
      <c r="D104" s="1953"/>
      <c r="E104" s="2009" t="str">
        <f>INDEX(PT_DIFFERENTIATION_VTAR,MATCH(A104,PT_DIFFERENTIATION_VTAR_ID,0))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F104" s="2009" t="str">
        <f>INDEX(PT_DIFFERENTIATION_VDET,MATCH(A104,PT_DIFFERENTIATION_VTAR_ID,0))</f>
        <v/>
      </c>
      <c r="G104" s="1686"/>
      <c r="H104" s="1655"/>
      <c r="I104" s="1693"/>
      <c r="J104" s="1698"/>
      <c r="K104" s="1685" t="s">
        <v>297</v>
      </c>
      <c r="L104" s="263"/>
      <c r="M104" s="256"/>
      <c r="N104" s="1541"/>
      <c r="O104" s="1541"/>
    </row>
    <row r="105" spans="1:15" s="1552" customFormat="1" ht="18.75" hidden="1" customHeight="1">
      <c r="A105" s="1700"/>
      <c r="B105" s="293" t="s">
        <v>1675</v>
      </c>
      <c r="C105" s="2170"/>
      <c r="D105" s="1953"/>
      <c r="E105" s="2009"/>
      <c r="F105" s="2009"/>
      <c r="G105" s="329"/>
      <c r="H105" s="324" t="s">
        <v>1570</v>
      </c>
      <c r="I105" s="270"/>
      <c r="J105" s="330"/>
      <c r="K105" s="118"/>
      <c r="L105" s="263"/>
      <c r="M105" s="256"/>
      <c r="N105" s="1541"/>
      <c r="O105" s="1541"/>
    </row>
    <row r="106" spans="1:15" s="1552" customFormat="1" ht="18.75" hidden="1" customHeight="1">
      <c r="A106" s="1700" t="s">
        <v>184</v>
      </c>
      <c r="B106" s="293"/>
      <c r="C106" s="2170"/>
      <c r="D106" s="1953"/>
      <c r="E106" s="2009" t="str">
        <f>INDEX(PT_DIFFERENTIATION_VTAR,MATCH(A106,PT_DIFFERENTIATION_VTAR_ID,0))</f>
        <v>Тарифы на услуги по передаче тепловой энергии</v>
      </c>
      <c r="F106" s="2009" t="str">
        <f>INDEX(PT_DIFFERENTIATION_VDET,MATCH(A106,PT_DIFFERENTIATION_VTAR_ID,0))</f>
        <v/>
      </c>
      <c r="G106" s="1686"/>
      <c r="H106" s="1655"/>
      <c r="I106" s="1693"/>
      <c r="J106" s="1698"/>
      <c r="K106" s="1685" t="s">
        <v>297</v>
      </c>
      <c r="L106" s="263"/>
      <c r="M106" s="256"/>
      <c r="N106" s="1541"/>
      <c r="O106" s="1541"/>
    </row>
    <row r="107" spans="1:15" s="1552" customFormat="1" ht="18.75" hidden="1" customHeight="1">
      <c r="A107" s="1700"/>
      <c r="B107" s="293" t="s">
        <v>1675</v>
      </c>
      <c r="C107" s="2170"/>
      <c r="D107" s="1953"/>
      <c r="E107" s="2009"/>
      <c r="F107" s="2009"/>
      <c r="G107" s="329"/>
      <c r="H107" s="324" t="s">
        <v>1570</v>
      </c>
      <c r="I107" s="270"/>
      <c r="J107" s="330"/>
      <c r="K107" s="118"/>
      <c r="L107" s="263"/>
      <c r="M107" s="256"/>
      <c r="N107" s="1541"/>
      <c r="O107" s="1541"/>
    </row>
    <row r="108" spans="1:15" s="1552" customFormat="1" ht="18.75" hidden="1" customHeight="1">
      <c r="A108" s="1700" t="s">
        <v>190</v>
      </c>
      <c r="B108" s="293"/>
      <c r="C108" s="2170"/>
      <c r="D108" s="1953"/>
      <c r="E108" s="2009" t="str">
        <f>INDEX(PT_DIFFERENTIATION_VTAR,MATCH(A108,PT_DIFFERENTIATION_VTAR_ID,0))</f>
        <v>Тарифы на услуги по передаче теплоносителя</v>
      </c>
      <c r="F108" s="2009" t="str">
        <f>INDEX(PT_DIFFERENTIATION_VDET,MATCH(A108,PT_DIFFERENTIATION_VTAR_ID,0))</f>
        <v/>
      </c>
      <c r="G108" s="1686"/>
      <c r="H108" s="1655"/>
      <c r="I108" s="1693"/>
      <c r="J108" s="1698"/>
      <c r="K108" s="1685" t="s">
        <v>297</v>
      </c>
      <c r="L108" s="263"/>
      <c r="M108" s="256"/>
      <c r="N108" s="1541"/>
      <c r="O108" s="1541"/>
    </row>
    <row r="109" spans="1:15" s="1552" customFormat="1" ht="18.75" hidden="1" customHeight="1">
      <c r="A109" s="1700"/>
      <c r="B109" s="293" t="s">
        <v>1675</v>
      </c>
      <c r="C109" s="2170"/>
      <c r="D109" s="1953"/>
      <c r="E109" s="2009"/>
      <c r="F109" s="2009"/>
      <c r="G109" s="329"/>
      <c r="H109" s="324" t="s">
        <v>1570</v>
      </c>
      <c r="I109" s="270"/>
      <c r="J109" s="330"/>
      <c r="K109" s="118"/>
      <c r="L109" s="263"/>
      <c r="M109" s="256"/>
      <c r="N109" s="1541"/>
      <c r="O109" s="1541"/>
    </row>
    <row r="110" spans="1:15" s="1552" customFormat="1" ht="18.75" hidden="1" customHeight="1">
      <c r="A110" s="1700" t="s">
        <v>196</v>
      </c>
      <c r="B110" s="293"/>
      <c r="C110" s="2170"/>
      <c r="D110" s="1953"/>
      <c r="E110" s="2009" t="str">
        <f>INDEX(PT_DIFFERENTIATION_VTAR,MATCH(A110,PT_DIFFERENTIATION_VTAR_ID,0))</f>
        <v>Плата за услуги по поддержанию резервной тепловой мощности при отсутствии потребления тепловой энергии</v>
      </c>
      <c r="F110" s="2009" t="str">
        <f>INDEX(PT_DIFFERENTIATION_VDET,MATCH(A110,PT_DIFFERENTIATION_VTAR_ID,0))</f>
        <v/>
      </c>
      <c r="G110" s="1686"/>
      <c r="H110" s="1655"/>
      <c r="I110" s="1693"/>
      <c r="J110" s="1698"/>
      <c r="K110" s="1685" t="s">
        <v>297</v>
      </c>
      <c r="L110" s="263"/>
      <c r="M110" s="256"/>
      <c r="N110" s="1541"/>
      <c r="O110" s="1541"/>
    </row>
    <row r="111" spans="1:15" s="1552" customFormat="1" ht="18.75" hidden="1" customHeight="1">
      <c r="A111" s="1700"/>
      <c r="B111" s="293" t="s">
        <v>1675</v>
      </c>
      <c r="C111" s="2170"/>
      <c r="D111" s="1953"/>
      <c r="E111" s="2009"/>
      <c r="F111" s="2009"/>
      <c r="G111" s="329"/>
      <c r="H111" s="324" t="s">
        <v>1570</v>
      </c>
      <c r="I111" s="270"/>
      <c r="J111" s="330"/>
      <c r="K111" s="118"/>
      <c r="L111" s="263"/>
      <c r="M111" s="256"/>
      <c r="N111" s="1541"/>
      <c r="O111" s="1541"/>
    </row>
    <row r="112" spans="1:15" s="1552" customFormat="1" ht="18.75" hidden="1" customHeight="1">
      <c r="A112" s="1700" t="s">
        <v>202</v>
      </c>
      <c r="B112" s="293"/>
      <c r="C112" s="2170"/>
      <c r="D112" s="1953"/>
      <c r="E112" s="2009" t="str">
        <f>INDEX(PT_DIFFERENTIATION_VTAR,MATCH(A112,PT_DIFFERENTIATION_VTAR_ID,0))</f>
        <v>Плата за подключение (технологическое присоединение) к системе теплоснабжения</v>
      </c>
      <c r="F112" s="2009" t="str">
        <f>INDEX(PT_DIFFERENTIATION_VDET,MATCH(A112,PT_DIFFERENTIATION_VTAR_ID,0))</f>
        <v/>
      </c>
      <c r="G112" s="1686"/>
      <c r="H112" s="1655"/>
      <c r="I112" s="1693"/>
      <c r="J112" s="1698"/>
      <c r="K112" s="1685" t="s">
        <v>297</v>
      </c>
      <c r="L112" s="263"/>
      <c r="M112" s="256"/>
      <c r="N112" s="1541"/>
      <c r="O112" s="1541"/>
    </row>
    <row r="113" spans="1:15" s="1552" customFormat="1" ht="18.75" hidden="1" customHeight="1">
      <c r="A113" s="1700"/>
      <c r="B113" s="293" t="s">
        <v>1675</v>
      </c>
      <c r="C113" s="2170"/>
      <c r="D113" s="1953"/>
      <c r="E113" s="2009"/>
      <c r="F113" s="2009"/>
      <c r="G113" s="329"/>
      <c r="H113" s="324" t="s">
        <v>1570</v>
      </c>
      <c r="I113" s="270"/>
      <c r="J113" s="330"/>
      <c r="K113" s="118"/>
      <c r="L113" s="263"/>
      <c r="M113" s="256"/>
      <c r="N113" s="1541"/>
      <c r="O113" s="1541"/>
    </row>
    <row r="114" spans="1:15" s="1552" customFormat="1" ht="18.75" hidden="1" customHeight="1">
      <c r="A114" s="1700" t="s">
        <v>216</v>
      </c>
      <c r="B114" s="293"/>
      <c r="C114" s="2170"/>
      <c r="D114" s="1953"/>
      <c r="E114" s="2009" t="str">
        <f>INDEX(PT_DIFFERENTIATION_VTAR,MATCH(A114,PT_DIFFERENTIATION_VTAR_ID,0))</f>
        <v>Тариф на питьевую воду (питьевое водоснабжение)</v>
      </c>
      <c r="F114" s="2009" t="str">
        <f>INDEX(PT_DIFFERENTIATION_VDET,MATCH(A114,PT_DIFFERENTIATION_VTAR_ID,0))</f>
        <v/>
      </c>
      <c r="G114" s="1686"/>
      <c r="H114" s="1655"/>
      <c r="I114" s="1693"/>
      <c r="J114" s="1698"/>
      <c r="K114" s="1685" t="s">
        <v>297</v>
      </c>
      <c r="L114" s="263"/>
      <c r="M114" s="256"/>
      <c r="N114" s="1541"/>
      <c r="O114" s="1541"/>
    </row>
    <row r="115" spans="1:15" s="1552" customFormat="1" ht="18.75" hidden="1" customHeight="1">
      <c r="A115" s="1700"/>
      <c r="B115" s="293" t="s">
        <v>1675</v>
      </c>
      <c r="C115" s="2170"/>
      <c r="D115" s="1953"/>
      <c r="E115" s="2009"/>
      <c r="F115" s="2009"/>
      <c r="G115" s="329"/>
      <c r="H115" s="324" t="s">
        <v>1570</v>
      </c>
      <c r="I115" s="270"/>
      <c r="J115" s="330"/>
      <c r="K115" s="118"/>
      <c r="L115" s="263"/>
      <c r="M115" s="256"/>
      <c r="N115" s="1541"/>
      <c r="O115" s="1541"/>
    </row>
    <row r="116" spans="1:15" s="1552" customFormat="1" ht="18.75" hidden="1" customHeight="1">
      <c r="A116" s="1700" t="s">
        <v>221</v>
      </c>
      <c r="B116" s="293"/>
      <c r="C116" s="2170"/>
      <c r="D116" s="1953"/>
      <c r="E116" s="2009" t="str">
        <f>INDEX(PT_DIFFERENTIATION_VTAR,MATCH(A116,PT_DIFFERENTIATION_VTAR_ID,0))</f>
        <v>Тариф на техническую воду</v>
      </c>
      <c r="F116" s="2009" t="str">
        <f>INDEX(PT_DIFFERENTIATION_VDET,MATCH(A116,PT_DIFFERENTIATION_VTAR_ID,0))</f>
        <v/>
      </c>
      <c r="G116" s="1686"/>
      <c r="H116" s="1655"/>
      <c r="I116" s="1693"/>
      <c r="J116" s="1698"/>
      <c r="K116" s="1685" t="s">
        <v>297</v>
      </c>
      <c r="L116" s="263"/>
      <c r="M116" s="256"/>
      <c r="N116" s="1541"/>
      <c r="O116" s="1541"/>
    </row>
    <row r="117" spans="1:15" s="1552" customFormat="1" ht="18.75" hidden="1" customHeight="1">
      <c r="A117" s="1700"/>
      <c r="B117" s="293" t="s">
        <v>1675</v>
      </c>
      <c r="C117" s="2170"/>
      <c r="D117" s="1953"/>
      <c r="E117" s="2009"/>
      <c r="F117" s="2009"/>
      <c r="G117" s="329"/>
      <c r="H117" s="324" t="s">
        <v>1570</v>
      </c>
      <c r="I117" s="270"/>
      <c r="J117" s="330"/>
      <c r="K117" s="118"/>
      <c r="L117" s="263"/>
      <c r="M117" s="256"/>
      <c r="N117" s="1541"/>
      <c r="O117" s="1541"/>
    </row>
    <row r="118" spans="1:15" s="1552" customFormat="1" ht="18.75" hidden="1" customHeight="1">
      <c r="A118" s="1700" t="s">
        <v>226</v>
      </c>
      <c r="B118" s="293"/>
      <c r="C118" s="2170"/>
      <c r="D118" s="1953"/>
      <c r="E118" s="2009" t="str">
        <f>INDEX(PT_DIFFERENTIATION_VTAR,MATCH(A118,PT_DIFFERENTIATION_VTAR_ID,0))</f>
        <v>Тариф на транспортировку воды</v>
      </c>
      <c r="F118" s="2009" t="str">
        <f>INDEX(PT_DIFFERENTIATION_VDET,MATCH(A118,PT_DIFFERENTIATION_VTAR_ID,0))</f>
        <v/>
      </c>
      <c r="G118" s="1686"/>
      <c r="H118" s="1655"/>
      <c r="I118" s="1693"/>
      <c r="J118" s="1698"/>
      <c r="K118" s="1685" t="s">
        <v>297</v>
      </c>
      <c r="L118" s="263"/>
      <c r="M118" s="256"/>
      <c r="N118" s="1541"/>
      <c r="O118" s="1541"/>
    </row>
    <row r="119" spans="1:15" s="1552" customFormat="1" ht="18.75" hidden="1" customHeight="1">
      <c r="A119" s="1700"/>
      <c r="B119" s="293" t="s">
        <v>1675</v>
      </c>
      <c r="C119" s="2170"/>
      <c r="D119" s="1953"/>
      <c r="E119" s="2009"/>
      <c r="F119" s="2009"/>
      <c r="G119" s="329"/>
      <c r="H119" s="324" t="s">
        <v>1570</v>
      </c>
      <c r="I119" s="270"/>
      <c r="J119" s="330"/>
      <c r="K119" s="118"/>
      <c r="L119" s="263"/>
      <c r="M119" s="256"/>
      <c r="N119" s="1541"/>
      <c r="O119" s="1541"/>
    </row>
    <row r="120" spans="1:15" s="1552" customFormat="1" ht="18.75" hidden="1" customHeight="1">
      <c r="A120" s="1700" t="s">
        <v>231</v>
      </c>
      <c r="B120" s="293"/>
      <c r="C120" s="2170"/>
      <c r="D120" s="1953"/>
      <c r="E120" s="2009" t="str">
        <f>INDEX(PT_DIFFERENTIATION_VTAR,MATCH(A120,PT_DIFFERENTIATION_VTAR_ID,0))</f>
        <v>Тариф на подвоз воды</v>
      </c>
      <c r="F120" s="2009" t="str">
        <f>INDEX(PT_DIFFERENTIATION_VDET,MATCH(A120,PT_DIFFERENTIATION_VTAR_ID,0))</f>
        <v/>
      </c>
      <c r="G120" s="1686"/>
      <c r="H120" s="1655"/>
      <c r="I120" s="1693"/>
      <c r="J120" s="1698"/>
      <c r="K120" s="1685" t="s">
        <v>297</v>
      </c>
      <c r="L120" s="263"/>
      <c r="M120" s="256"/>
      <c r="N120" s="1541"/>
      <c r="O120" s="1541"/>
    </row>
    <row r="121" spans="1:15" s="1552" customFormat="1" ht="18.75" hidden="1" customHeight="1">
      <c r="A121" s="1700"/>
      <c r="B121" s="293" t="s">
        <v>1675</v>
      </c>
      <c r="C121" s="2170"/>
      <c r="D121" s="1953"/>
      <c r="E121" s="2009"/>
      <c r="F121" s="2009"/>
      <c r="G121" s="329"/>
      <c r="H121" s="324" t="s">
        <v>1570</v>
      </c>
      <c r="I121" s="270"/>
      <c r="J121" s="330"/>
      <c r="K121" s="118"/>
      <c r="L121" s="263"/>
      <c r="M121" s="256"/>
      <c r="N121" s="1541"/>
      <c r="O121" s="1541"/>
    </row>
    <row r="122" spans="1:15" s="1552" customFormat="1" ht="18.75" hidden="1" customHeight="1">
      <c r="A122" s="1700" t="s">
        <v>236</v>
      </c>
      <c r="B122" s="293"/>
      <c r="C122" s="2170"/>
      <c r="D122" s="1953"/>
      <c r="E122" s="2009" t="str">
        <f>INDEX(PT_DIFFERENTIATION_VTAR,MATCH(A122,PT_DIFFERENTIATION_VTAR_ID,0))</f>
        <v>Тариф на подключение (технологическое присоединение) к централизованной системе холодного водоснабжения</v>
      </c>
      <c r="F122" s="2009" t="str">
        <f>INDEX(PT_DIFFERENTIATION_VDET,MATCH(A122,PT_DIFFERENTIATION_VTAR_ID,0))</f>
        <v/>
      </c>
      <c r="G122" s="1686"/>
      <c r="H122" s="1655"/>
      <c r="I122" s="1693"/>
      <c r="J122" s="1698"/>
      <c r="K122" s="1685" t="s">
        <v>297</v>
      </c>
      <c r="L122" s="263"/>
      <c r="M122" s="256"/>
      <c r="N122" s="1541"/>
      <c r="O122" s="1541"/>
    </row>
    <row r="123" spans="1:15" s="1552" customFormat="1" ht="18.75" hidden="1" customHeight="1">
      <c r="A123" s="1700"/>
      <c r="B123" s="293" t="s">
        <v>1675</v>
      </c>
      <c r="C123" s="2170"/>
      <c r="D123" s="1953"/>
      <c r="E123" s="2009"/>
      <c r="F123" s="2009"/>
      <c r="G123" s="329"/>
      <c r="H123" s="324" t="s">
        <v>1570</v>
      </c>
      <c r="I123" s="270"/>
      <c r="J123" s="330"/>
      <c r="K123" s="118"/>
      <c r="L123" s="263"/>
      <c r="M123" s="256"/>
      <c r="N123" s="1541"/>
      <c r="O123" s="1541"/>
    </row>
    <row r="124" spans="1:15" s="1552" customFormat="1" ht="18.75" hidden="1" customHeight="1">
      <c r="A124" s="1700" t="s">
        <v>241</v>
      </c>
      <c r="B124" s="293"/>
      <c r="C124" s="2170"/>
      <c r="D124" s="1953"/>
      <c r="E124" s="2009" t="str">
        <f>INDEX(PT_DIFFERENTIATION_VTAR,MATCH(A124,PT_DIFFERENTIATION_VTAR_ID,0))</f>
        <v>Тариф на горячую воду (горячее водоснабжение)</v>
      </c>
      <c r="F124" s="2009" t="str">
        <f>INDEX(PT_DIFFERENTIATION_VDET,MATCH(A124,PT_DIFFERENTIATION_VTAR_ID,0))</f>
        <v/>
      </c>
      <c r="G124" s="1686"/>
      <c r="H124" s="1655"/>
      <c r="I124" s="1693"/>
      <c r="J124" s="1698"/>
      <c r="K124" s="1685" t="s">
        <v>297</v>
      </c>
      <c r="L124" s="263"/>
      <c r="M124" s="256"/>
      <c r="N124" s="1541"/>
      <c r="O124" s="1541"/>
    </row>
    <row r="125" spans="1:15" s="1552" customFormat="1" ht="18.75" hidden="1" customHeight="1">
      <c r="A125" s="1700"/>
      <c r="B125" s="293" t="s">
        <v>1675</v>
      </c>
      <c r="C125" s="2170"/>
      <c r="D125" s="1953"/>
      <c r="E125" s="2009"/>
      <c r="F125" s="2009"/>
      <c r="G125" s="329"/>
      <c r="H125" s="324" t="s">
        <v>1570</v>
      </c>
      <c r="I125" s="270"/>
      <c r="J125" s="330"/>
      <c r="K125" s="118"/>
      <c r="L125" s="263"/>
      <c r="M125" s="256"/>
      <c r="N125" s="1541"/>
      <c r="O125" s="1541"/>
    </row>
    <row r="126" spans="1:15" s="1552" customFormat="1" ht="18.75" hidden="1" customHeight="1">
      <c r="A126" s="1700" t="s">
        <v>246</v>
      </c>
      <c r="B126" s="293"/>
      <c r="C126" s="2170"/>
      <c r="D126" s="1953"/>
      <c r="E126" s="2009" t="str">
        <f>INDEX(PT_DIFFERENTIATION_VTAR,MATCH(A126,PT_DIFFERENTIATION_VTAR_ID,0))</f>
        <v>Тариф на транспортировку горячей воды</v>
      </c>
      <c r="F126" s="2009" t="str">
        <f>INDEX(PT_DIFFERENTIATION_VDET,MATCH(A126,PT_DIFFERENTIATION_VTAR_ID,0))</f>
        <v/>
      </c>
      <c r="G126" s="1686"/>
      <c r="H126" s="1655"/>
      <c r="I126" s="1693"/>
      <c r="J126" s="1698"/>
      <c r="K126" s="1685" t="s">
        <v>297</v>
      </c>
      <c r="L126" s="263"/>
      <c r="M126" s="256"/>
      <c r="N126" s="1541"/>
      <c r="O126" s="1541"/>
    </row>
    <row r="127" spans="1:15" s="1552" customFormat="1" ht="18.75" hidden="1" customHeight="1">
      <c r="A127" s="1700"/>
      <c r="B127" s="293" t="s">
        <v>1675</v>
      </c>
      <c r="C127" s="2170"/>
      <c r="D127" s="1953"/>
      <c r="E127" s="2009"/>
      <c r="F127" s="2009"/>
      <c r="G127" s="329"/>
      <c r="H127" s="324" t="s">
        <v>1570</v>
      </c>
      <c r="I127" s="270"/>
      <c r="J127" s="330"/>
      <c r="K127" s="118"/>
      <c r="L127" s="263"/>
      <c r="M127" s="256"/>
      <c r="N127" s="1541"/>
      <c r="O127" s="1541"/>
    </row>
    <row r="128" spans="1:15" s="1552" customFormat="1" ht="18.75" hidden="1" customHeight="1">
      <c r="A128" s="1700" t="s">
        <v>251</v>
      </c>
      <c r="B128" s="293"/>
      <c r="C128" s="2170"/>
      <c r="D128" s="1953"/>
      <c r="E128" s="2009" t="str">
        <f>INDEX(PT_DIFFERENTIATION_VTAR,MATCH(A128,PT_DIFFERENTIATION_VTAR_ID,0))</f>
        <v>Тариф на подключение (технологическое присоединение) к централизованной системе горячего водоснабжения</v>
      </c>
      <c r="F128" s="2009" t="str">
        <f>INDEX(PT_DIFFERENTIATION_VDET,MATCH(A128,PT_DIFFERENTIATION_VTAR_ID,0))</f>
        <v/>
      </c>
      <c r="G128" s="1686"/>
      <c r="H128" s="1655"/>
      <c r="I128" s="1693"/>
      <c r="J128" s="1698"/>
      <c r="K128" s="1685" t="s">
        <v>297</v>
      </c>
      <c r="L128" s="263"/>
      <c r="M128" s="256"/>
      <c r="N128" s="1541"/>
      <c r="O128" s="1541"/>
    </row>
    <row r="129" spans="1:15" s="1552" customFormat="1" ht="18.75" hidden="1" customHeight="1">
      <c r="A129" s="1700"/>
      <c r="B129" s="293" t="s">
        <v>1675</v>
      </c>
      <c r="C129" s="2170"/>
      <c r="D129" s="1953"/>
      <c r="E129" s="2009"/>
      <c r="F129" s="2009"/>
      <c r="G129" s="329"/>
      <c r="H129" s="324" t="s">
        <v>1570</v>
      </c>
      <c r="I129" s="270"/>
      <c r="J129" s="330"/>
      <c r="K129" s="118"/>
      <c r="L129" s="263"/>
      <c r="M129" s="256"/>
      <c r="N129" s="1541"/>
      <c r="O129" s="1541"/>
    </row>
    <row r="130" spans="1:15" s="1552" customFormat="1" ht="18.75" hidden="1" customHeight="1">
      <c r="A130" s="1700" t="s">
        <v>256</v>
      </c>
      <c r="B130" s="293"/>
      <c r="C130" s="2170"/>
      <c r="D130" s="1953"/>
      <c r="E130" s="2009" t="str">
        <f>INDEX(PT_DIFFERENTIATION_VTAR,MATCH(A130,PT_DIFFERENTIATION_VTAR_ID,0))</f>
        <v>Тариф на водоотведение</v>
      </c>
      <c r="F130" s="2009" t="str">
        <f>INDEX(PT_DIFFERENTIATION_VDET,MATCH(A130,PT_DIFFERENTIATION_VTAR_ID,0))</f>
        <v/>
      </c>
      <c r="G130" s="1686"/>
      <c r="H130" s="1655"/>
      <c r="I130" s="1693"/>
      <c r="J130" s="1698"/>
      <c r="K130" s="1685" t="s">
        <v>297</v>
      </c>
      <c r="L130" s="263"/>
      <c r="M130" s="256"/>
      <c r="N130" s="1541"/>
      <c r="O130" s="1541"/>
    </row>
    <row r="131" spans="1:15" s="1552" customFormat="1" ht="18.75" hidden="1" customHeight="1">
      <c r="A131" s="1700"/>
      <c r="B131" s="293" t="s">
        <v>1675</v>
      </c>
      <c r="C131" s="2170"/>
      <c r="D131" s="1953"/>
      <c r="E131" s="2009"/>
      <c r="F131" s="2009"/>
      <c r="G131" s="329"/>
      <c r="H131" s="324" t="s">
        <v>1570</v>
      </c>
      <c r="I131" s="270"/>
      <c r="J131" s="330"/>
      <c r="K131" s="118"/>
      <c r="L131" s="263"/>
      <c r="M131" s="256"/>
      <c r="N131" s="1541"/>
      <c r="O131" s="1541"/>
    </row>
    <row r="132" spans="1:15" s="1552" customFormat="1" ht="18.75" hidden="1" customHeight="1">
      <c r="A132" s="1700" t="s">
        <v>261</v>
      </c>
      <c r="B132" s="293"/>
      <c r="C132" s="2170"/>
      <c r="D132" s="1953"/>
      <c r="E132" s="2009" t="str">
        <f>INDEX(PT_DIFFERENTIATION_VTAR,MATCH(A132,PT_DIFFERENTIATION_VTAR_ID,0))</f>
        <v>Тариф на транспортировку сточных вод</v>
      </c>
      <c r="F132" s="2009" t="str">
        <f>INDEX(PT_DIFFERENTIATION_VDET,MATCH(A132,PT_DIFFERENTIATION_VTAR_ID,0))</f>
        <v/>
      </c>
      <c r="G132" s="1686"/>
      <c r="H132" s="1655"/>
      <c r="I132" s="1693"/>
      <c r="J132" s="1698"/>
      <c r="K132" s="1685" t="s">
        <v>297</v>
      </c>
      <c r="L132" s="263"/>
      <c r="M132" s="256"/>
      <c r="N132" s="1541"/>
      <c r="O132" s="1541"/>
    </row>
    <row r="133" spans="1:15" s="1552" customFormat="1" ht="18.75" hidden="1" customHeight="1">
      <c r="A133" s="1700"/>
      <c r="B133" s="293" t="s">
        <v>1675</v>
      </c>
      <c r="C133" s="2170"/>
      <c r="D133" s="1953"/>
      <c r="E133" s="2009"/>
      <c r="F133" s="2009"/>
      <c r="G133" s="329"/>
      <c r="H133" s="324" t="s">
        <v>1570</v>
      </c>
      <c r="I133" s="270"/>
      <c r="J133" s="330"/>
      <c r="K133" s="118"/>
      <c r="L133" s="263"/>
      <c r="M133" s="256"/>
      <c r="N133" s="1541"/>
      <c r="O133" s="1541"/>
    </row>
    <row r="134" spans="1:15" s="1552" customFormat="1" ht="18.75" hidden="1" customHeight="1">
      <c r="A134" s="1700" t="s">
        <v>266</v>
      </c>
      <c r="B134" s="293"/>
      <c r="C134" s="2170"/>
      <c r="D134" s="1953"/>
      <c r="E134" s="2009" t="str">
        <f>INDEX(PT_DIFFERENTIATION_VTAR,MATCH(A134,PT_DIFFERENTIATION_VTAR_ID,0))</f>
        <v>Тариф на подключение (технологическое присоединение) к централизованной системе водоотведения</v>
      </c>
      <c r="F134" s="2009" t="str">
        <f>INDEX(PT_DIFFERENTIATION_VDET,MATCH(A134,PT_DIFFERENTIATION_VTAR_ID,0))</f>
        <v/>
      </c>
      <c r="G134" s="1686"/>
      <c r="H134" s="1655"/>
      <c r="I134" s="1693"/>
      <c r="J134" s="1698"/>
      <c r="K134" s="1685" t="s">
        <v>297</v>
      </c>
      <c r="L134" s="263"/>
      <c r="M134" s="256"/>
      <c r="N134" s="1541"/>
      <c r="O134" s="1541"/>
    </row>
    <row r="135" spans="1:15" s="1552" customFormat="1" ht="18.75" hidden="1" customHeight="1">
      <c r="A135" s="1700"/>
      <c r="B135" s="293" t="s">
        <v>1675</v>
      </c>
      <c r="C135" s="2170"/>
      <c r="D135" s="1953"/>
      <c r="E135" s="2009"/>
      <c r="F135" s="2009"/>
      <c r="G135" s="329"/>
      <c r="H135" s="324" t="s">
        <v>1570</v>
      </c>
      <c r="I135" s="270"/>
      <c r="J135" s="330"/>
      <c r="K135" s="118"/>
      <c r="L135" s="263"/>
      <c r="M135" s="256"/>
      <c r="N135" s="1541"/>
      <c r="O135" s="1541"/>
    </row>
    <row r="136" spans="1:15" ht="26.25" customHeight="1">
      <c r="A136" s="1700"/>
      <c r="C136" s="300"/>
      <c r="D136" s="67" t="s">
        <v>111</v>
      </c>
      <c r="E136" s="2160" t="str">
        <f>IF(TEMPLATE_SPHERE="HEAT","Размер недополученных доходов регулируемой организацией (при их наличии), исчисленный в соответствии с Основами ценообразования в сфере теплоснабжения,"&amp;" утвержденными постановлением Правительства Российской Федерации от 22 октября 2012 г. N 1075 ""О ценообразовании в сфере теплоснабжения""","Размер недополученных доходов организации холодного водоснабжения (при их наличии), исчисленных в соответствии с Основами ценообразования в сфере водоснабжения и водоотведения")</f>
        <v>Размер недополученных доходов организации холодного водоснабжения (при их наличии), исчисленных в соответствии с Основами ценообразования в сфере водоснабжения и водоотведения</v>
      </c>
      <c r="F136" s="2160"/>
      <c r="G136" s="2160"/>
      <c r="H136" s="2160"/>
      <c r="I136" s="2160"/>
      <c r="J136" s="2160"/>
      <c r="K136" s="2160"/>
      <c r="L136" s="211"/>
      <c r="M136" s="256"/>
    </row>
    <row r="137" spans="1:15" s="1552" customFormat="1" ht="56.25" hidden="1" customHeight="1">
      <c r="A137" s="1700" t="s">
        <v>160</v>
      </c>
      <c r="B137" s="293"/>
      <c r="C137" s="2170"/>
      <c r="D137" s="1953"/>
      <c r="E137" s="2009" t="str">
        <f>INDEX(PT_DIFFERENTIATION_VTAR,MATCH(A137,PT_DIFFERENTIATION_VTAR_ID,0))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F137" s="2009" t="str">
        <f>INDEX(PT_DIFFERENTIATION_VDET,MATCH(A137,PT_DIFFERENTIATION_VTAR_ID,0))</f>
        <v/>
      </c>
      <c r="G137" s="1686"/>
      <c r="H137" s="1655"/>
      <c r="I137" s="1693"/>
      <c r="J137" s="1698"/>
      <c r="K137" s="1685" t="s">
        <v>297</v>
      </c>
      <c r="L137" s="1918"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Величина недополученных доходов регулируемой организации указывается в колонке «Информация» в тыс. руб.
В случае отсутствия недополученных доходов организацией "&amp;IF(TEMPLATE_SPHERE="HEAT","регулируемой организацией",TEMPLATE_SPHERE_RUS)&amp;", исчисленных в соответствии с законодательством в сфере "&amp;IF(TEMPLATE_SPHERE="HEAT","теплоснабжения","водоснабжения и водоотведения")&amp;", указывается значение «0».
В случае дифференциации недополученных доходов организацией "&amp;TEMPLATE_SPHERE_RUS&amp;" по видам тарифов и/или по срокам действия тарифов информация указывается в отдельных строках."</f>
        <v>Значение в колонке «Вид тарифа» выбирается из перечня видов тарифов в сфере холодного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недополученных доходов регулируемой организации указывается в колонке «Информация» в тыс. руб.
В случае отсутствия недополученных доходов организацией холодного водоснабжения, исчисленных в соответствии с законодательством в сфере водоснабжения и водоотведения, указывается значение «0».
В случае дифференциации недополученных доходов организацией холодного водоснабжения по видам тарифов и/или по срокам действия тарифов информация указывается в отдельных строках.</v>
      </c>
      <c r="M137" s="256"/>
      <c r="N137" s="1541"/>
      <c r="O137" s="1541"/>
    </row>
    <row r="138" spans="1:15" s="1552" customFormat="1" ht="18.75" hidden="1" customHeight="1">
      <c r="A138" s="1700"/>
      <c r="B138" s="293" t="s">
        <v>1675</v>
      </c>
      <c r="C138" s="2170"/>
      <c r="D138" s="1953"/>
      <c r="E138" s="2009"/>
      <c r="F138" s="2009"/>
      <c r="G138" s="329"/>
      <c r="H138" s="324" t="s">
        <v>1570</v>
      </c>
      <c r="I138" s="270"/>
      <c r="J138" s="330"/>
      <c r="K138" s="118"/>
      <c r="L138" s="1919"/>
      <c r="M138" s="256"/>
      <c r="N138" s="1541"/>
      <c r="O138" s="1541"/>
    </row>
    <row r="139" spans="1:15" s="1552" customFormat="1" ht="26.25" hidden="1" customHeight="1">
      <c r="A139" s="1700" t="s">
        <v>166</v>
      </c>
      <c r="B139" s="293"/>
      <c r="C139" s="2170"/>
      <c r="D139" s="1953"/>
      <c r="E139" s="2009" t="str">
        <f>INDEX(PT_DIFFERENTIATION_VTAR,MATCH(A139,PT_DIFFERENTIATION_VTAR_ID,0))</f>
        <v>Тарифы на тепловую энергию (мощность), поставляемую теплоснабжающими организациями потребителям, другим теплоснабжающим организациям</v>
      </c>
      <c r="F139" s="2009" t="str">
        <f>INDEX(PT_DIFFERENTIATION_VDET,MATCH(A139,PT_DIFFERENTIATION_VTAR_ID,0))</f>
        <v/>
      </c>
      <c r="G139" s="1686"/>
      <c r="H139" s="1655"/>
      <c r="I139" s="1693"/>
      <c r="J139" s="1698"/>
      <c r="K139" s="1685" t="s">
        <v>297</v>
      </c>
      <c r="L139" s="1920"/>
      <c r="M139" s="256"/>
      <c r="N139" s="1541"/>
      <c r="O139" s="1541"/>
    </row>
    <row r="140" spans="1:15" s="1552" customFormat="1" ht="18.75" hidden="1" customHeight="1">
      <c r="A140" s="1700"/>
      <c r="B140" s="293" t="s">
        <v>1675</v>
      </c>
      <c r="C140" s="2170"/>
      <c r="D140" s="1953"/>
      <c r="E140" s="2009"/>
      <c r="F140" s="2009"/>
      <c r="G140" s="329"/>
      <c r="H140" s="324" t="s">
        <v>1570</v>
      </c>
      <c r="I140" s="270"/>
      <c r="J140" s="330"/>
      <c r="K140" s="118"/>
      <c r="L140" s="263"/>
      <c r="M140" s="256"/>
      <c r="N140" s="1541"/>
      <c r="O140" s="1541"/>
    </row>
    <row r="141" spans="1:15" s="1552" customFormat="1" ht="18.75" hidden="1" customHeight="1">
      <c r="A141" s="1700" t="s">
        <v>172</v>
      </c>
      <c r="B141" s="293"/>
      <c r="C141" s="2170"/>
      <c r="D141" s="1953"/>
      <c r="E141" s="2009" t="str">
        <f>INDEX(PT_DIFFERENTIATION_VTAR,MATCH(A141,PT_DIFFERENTIATION_VTAR_ID,0))</f>
        <v>Тарифы на теплоноситель, поставляемый теплоснабжающими организациями потребителям, другим теплоснабжающим организациям</v>
      </c>
      <c r="F141" s="2009" t="str">
        <f>INDEX(PT_DIFFERENTIATION_VDET,MATCH(A141,PT_DIFFERENTIATION_VTAR_ID,0))</f>
        <v/>
      </c>
      <c r="G141" s="1686"/>
      <c r="H141" s="1655"/>
      <c r="I141" s="1693"/>
      <c r="J141" s="1698"/>
      <c r="K141" s="1685" t="s">
        <v>297</v>
      </c>
      <c r="L141" s="263"/>
      <c r="M141" s="256"/>
      <c r="N141" s="1541"/>
      <c r="O141" s="1541"/>
    </row>
    <row r="142" spans="1:15" s="1552" customFormat="1" ht="18.75" hidden="1" customHeight="1">
      <c r="A142" s="1700"/>
      <c r="B142" s="293" t="s">
        <v>1675</v>
      </c>
      <c r="C142" s="2170"/>
      <c r="D142" s="1953"/>
      <c r="E142" s="2009"/>
      <c r="F142" s="2009"/>
      <c r="G142" s="329"/>
      <c r="H142" s="324" t="s">
        <v>1570</v>
      </c>
      <c r="I142" s="270"/>
      <c r="J142" s="330"/>
      <c r="K142" s="118"/>
      <c r="L142" s="263"/>
      <c r="M142" s="256"/>
      <c r="N142" s="1541"/>
      <c r="O142" s="1541"/>
    </row>
    <row r="143" spans="1:15" s="1552" customFormat="1" ht="40.5" hidden="1" customHeight="1">
      <c r="A143" s="1700" t="s">
        <v>178</v>
      </c>
      <c r="B143" s="293"/>
      <c r="C143" s="2170"/>
      <c r="D143" s="1953"/>
      <c r="E143" s="2009" t="str">
        <f>INDEX(PT_DIFFERENTIATION_VTAR,MATCH(A143,PT_DIFFERENTIATION_VTAR_ID,0))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F143" s="2009" t="str">
        <f>INDEX(PT_DIFFERENTIATION_VDET,MATCH(A143,PT_DIFFERENTIATION_VTAR_ID,0))</f>
        <v/>
      </c>
      <c r="G143" s="1686"/>
      <c r="H143" s="1655"/>
      <c r="I143" s="1693"/>
      <c r="J143" s="1698"/>
      <c r="K143" s="1685" t="s">
        <v>297</v>
      </c>
      <c r="L143" s="263"/>
      <c r="M143" s="256"/>
      <c r="N143" s="1541"/>
      <c r="O143" s="1541"/>
    </row>
    <row r="144" spans="1:15" s="1552" customFormat="1" ht="18.75" hidden="1" customHeight="1">
      <c r="A144" s="1700"/>
      <c r="B144" s="293" t="s">
        <v>1675</v>
      </c>
      <c r="C144" s="2170"/>
      <c r="D144" s="1953"/>
      <c r="E144" s="2009"/>
      <c r="F144" s="2009"/>
      <c r="G144" s="329"/>
      <c r="H144" s="324" t="s">
        <v>1570</v>
      </c>
      <c r="I144" s="270"/>
      <c r="J144" s="330"/>
      <c r="K144" s="118"/>
      <c r="L144" s="263"/>
      <c r="M144" s="256"/>
      <c r="N144" s="1541"/>
      <c r="O144" s="1541"/>
    </row>
    <row r="145" spans="1:15" s="1552" customFormat="1" ht="18.75" hidden="1" customHeight="1">
      <c r="A145" s="1700" t="s">
        <v>184</v>
      </c>
      <c r="B145" s="293"/>
      <c r="C145" s="2170"/>
      <c r="D145" s="1953"/>
      <c r="E145" s="2009" t="str">
        <f>INDEX(PT_DIFFERENTIATION_VTAR,MATCH(A145,PT_DIFFERENTIATION_VTAR_ID,0))</f>
        <v>Тарифы на услуги по передаче тепловой энергии</v>
      </c>
      <c r="F145" s="2009" t="str">
        <f>INDEX(PT_DIFFERENTIATION_VDET,MATCH(A145,PT_DIFFERENTIATION_VTAR_ID,0))</f>
        <v/>
      </c>
      <c r="G145" s="1686"/>
      <c r="H145" s="1655"/>
      <c r="I145" s="1693"/>
      <c r="J145" s="1698"/>
      <c r="K145" s="1685" t="s">
        <v>297</v>
      </c>
      <c r="L145" s="263"/>
      <c r="M145" s="256"/>
      <c r="N145" s="1541"/>
      <c r="O145" s="1541"/>
    </row>
    <row r="146" spans="1:15" s="1552" customFormat="1" ht="18.75" hidden="1" customHeight="1">
      <c r="A146" s="1700"/>
      <c r="B146" s="293" t="s">
        <v>1675</v>
      </c>
      <c r="C146" s="2170"/>
      <c r="D146" s="1953"/>
      <c r="E146" s="2009"/>
      <c r="F146" s="2009"/>
      <c r="G146" s="329"/>
      <c r="H146" s="324" t="s">
        <v>1570</v>
      </c>
      <c r="I146" s="270"/>
      <c r="J146" s="330"/>
      <c r="K146" s="118"/>
      <c r="L146" s="263"/>
      <c r="M146" s="256"/>
      <c r="N146" s="1541"/>
      <c r="O146" s="1541"/>
    </row>
    <row r="147" spans="1:15" s="1552" customFormat="1" ht="18.75" hidden="1" customHeight="1">
      <c r="A147" s="1700" t="s">
        <v>190</v>
      </c>
      <c r="B147" s="293"/>
      <c r="C147" s="2170"/>
      <c r="D147" s="1953"/>
      <c r="E147" s="2009" t="str">
        <f>INDEX(PT_DIFFERENTIATION_VTAR,MATCH(A147,PT_DIFFERENTIATION_VTAR_ID,0))</f>
        <v>Тарифы на услуги по передаче теплоносителя</v>
      </c>
      <c r="F147" s="2009" t="str">
        <f>INDEX(PT_DIFFERENTIATION_VDET,MATCH(A147,PT_DIFFERENTIATION_VTAR_ID,0))</f>
        <v/>
      </c>
      <c r="G147" s="1686"/>
      <c r="H147" s="1655"/>
      <c r="I147" s="1693"/>
      <c r="J147" s="1698"/>
      <c r="K147" s="1685" t="s">
        <v>297</v>
      </c>
      <c r="L147" s="263"/>
      <c r="M147" s="256"/>
      <c r="N147" s="1541"/>
      <c r="O147" s="1541"/>
    </row>
    <row r="148" spans="1:15" s="1552" customFormat="1" ht="18.75" hidden="1" customHeight="1">
      <c r="A148" s="1700"/>
      <c r="B148" s="293" t="s">
        <v>1675</v>
      </c>
      <c r="C148" s="2170"/>
      <c r="D148" s="1953"/>
      <c r="E148" s="2009"/>
      <c r="F148" s="2009"/>
      <c r="G148" s="329"/>
      <c r="H148" s="324" t="s">
        <v>1570</v>
      </c>
      <c r="I148" s="270"/>
      <c r="J148" s="330"/>
      <c r="K148" s="118"/>
      <c r="L148" s="263"/>
      <c r="M148" s="256"/>
      <c r="N148" s="1541"/>
      <c r="O148" s="1541"/>
    </row>
    <row r="149" spans="1:15" s="1552" customFormat="1" ht="18.75" hidden="1" customHeight="1">
      <c r="A149" s="1700" t="s">
        <v>196</v>
      </c>
      <c r="B149" s="293"/>
      <c r="C149" s="2170"/>
      <c r="D149" s="1953"/>
      <c r="E149" s="2009" t="str">
        <f>INDEX(PT_DIFFERENTIATION_VTAR,MATCH(A149,PT_DIFFERENTIATION_VTAR_ID,0))</f>
        <v>Плата за услуги по поддержанию резервной тепловой мощности при отсутствии потребления тепловой энергии</v>
      </c>
      <c r="F149" s="2009" t="str">
        <f>INDEX(PT_DIFFERENTIATION_VDET,MATCH(A149,PT_DIFFERENTIATION_VTAR_ID,0))</f>
        <v/>
      </c>
      <c r="G149" s="1686"/>
      <c r="H149" s="1655"/>
      <c r="I149" s="1693"/>
      <c r="J149" s="1698"/>
      <c r="K149" s="1685" t="s">
        <v>297</v>
      </c>
      <c r="L149" s="263"/>
      <c r="M149" s="256"/>
      <c r="N149" s="1541"/>
      <c r="O149" s="1541"/>
    </row>
    <row r="150" spans="1:15" s="1552" customFormat="1" ht="18.75" hidden="1" customHeight="1">
      <c r="A150" s="1700"/>
      <c r="B150" s="293" t="s">
        <v>1675</v>
      </c>
      <c r="C150" s="2170"/>
      <c r="D150" s="1953"/>
      <c r="E150" s="2009"/>
      <c r="F150" s="2009"/>
      <c r="G150" s="329"/>
      <c r="H150" s="324" t="s">
        <v>1570</v>
      </c>
      <c r="I150" s="270"/>
      <c r="J150" s="330"/>
      <c r="K150" s="118"/>
      <c r="L150" s="263"/>
      <c r="M150" s="256"/>
      <c r="N150" s="1541"/>
      <c r="O150" s="1541"/>
    </row>
    <row r="151" spans="1:15" s="1552" customFormat="1" ht="18.75" hidden="1" customHeight="1">
      <c r="A151" s="1700" t="s">
        <v>202</v>
      </c>
      <c r="B151" s="293"/>
      <c r="C151" s="2170"/>
      <c r="D151" s="1953"/>
      <c r="E151" s="2009" t="str">
        <f>INDEX(PT_DIFFERENTIATION_VTAR,MATCH(A151,PT_DIFFERENTIATION_VTAR_ID,0))</f>
        <v>Плата за подключение (технологическое присоединение) к системе теплоснабжения</v>
      </c>
      <c r="F151" s="2009" t="str">
        <f>INDEX(PT_DIFFERENTIATION_VDET,MATCH(A151,PT_DIFFERENTIATION_VTAR_ID,0))</f>
        <v/>
      </c>
      <c r="G151" s="1686"/>
      <c r="H151" s="1655"/>
      <c r="I151" s="1693"/>
      <c r="J151" s="1698"/>
      <c r="K151" s="1685" t="s">
        <v>297</v>
      </c>
      <c r="L151" s="263"/>
      <c r="M151" s="256"/>
      <c r="N151" s="1541"/>
      <c r="O151" s="1541"/>
    </row>
    <row r="152" spans="1:15" s="1552" customFormat="1" ht="18.75" hidden="1" customHeight="1">
      <c r="A152" s="1700"/>
      <c r="B152" s="293" t="s">
        <v>1675</v>
      </c>
      <c r="C152" s="2170"/>
      <c r="D152" s="1953"/>
      <c r="E152" s="2009"/>
      <c r="F152" s="2009"/>
      <c r="G152" s="329"/>
      <c r="H152" s="324" t="s">
        <v>1570</v>
      </c>
      <c r="I152" s="270"/>
      <c r="J152" s="330"/>
      <c r="K152" s="118"/>
      <c r="L152" s="263"/>
      <c r="M152" s="256"/>
      <c r="N152" s="1541"/>
      <c r="O152" s="1541"/>
    </row>
    <row r="153" spans="1:15" s="1552" customFormat="1" ht="18.75" hidden="1" customHeight="1">
      <c r="A153" s="1700" t="s">
        <v>216</v>
      </c>
      <c r="B153" s="293"/>
      <c r="C153" s="2170"/>
      <c r="D153" s="1953"/>
      <c r="E153" s="2009" t="str">
        <f>INDEX(PT_DIFFERENTIATION_VTAR,MATCH(A153,PT_DIFFERENTIATION_VTAR_ID,0))</f>
        <v>Тариф на питьевую воду (питьевое водоснабжение)</v>
      </c>
      <c r="F153" s="2009" t="str">
        <f>INDEX(PT_DIFFERENTIATION_VDET,MATCH(A153,PT_DIFFERENTIATION_VTAR_ID,0))</f>
        <v/>
      </c>
      <c r="G153" s="1686"/>
      <c r="H153" s="1655"/>
      <c r="I153" s="1693"/>
      <c r="J153" s="1698"/>
      <c r="K153" s="1685" t="s">
        <v>297</v>
      </c>
      <c r="L153" s="263"/>
      <c r="M153" s="256"/>
      <c r="N153" s="1541"/>
      <c r="O153" s="1541"/>
    </row>
    <row r="154" spans="1:15" s="1552" customFormat="1" ht="18.75" hidden="1" customHeight="1">
      <c r="A154" s="1700"/>
      <c r="B154" s="293" t="s">
        <v>1675</v>
      </c>
      <c r="C154" s="2170"/>
      <c r="D154" s="1953"/>
      <c r="E154" s="2009"/>
      <c r="F154" s="2009"/>
      <c r="G154" s="329"/>
      <c r="H154" s="324" t="s">
        <v>1570</v>
      </c>
      <c r="I154" s="270"/>
      <c r="J154" s="330"/>
      <c r="K154" s="118"/>
      <c r="L154" s="263"/>
      <c r="M154" s="256"/>
      <c r="N154" s="1541"/>
      <c r="O154" s="1541"/>
    </row>
    <row r="155" spans="1:15" s="1552" customFormat="1" ht="18.75" hidden="1" customHeight="1">
      <c r="A155" s="1700" t="s">
        <v>221</v>
      </c>
      <c r="B155" s="293"/>
      <c r="C155" s="2170"/>
      <c r="D155" s="1953"/>
      <c r="E155" s="2009" t="str">
        <f>INDEX(PT_DIFFERENTIATION_VTAR,MATCH(A155,PT_DIFFERENTIATION_VTAR_ID,0))</f>
        <v>Тариф на техническую воду</v>
      </c>
      <c r="F155" s="2009" t="str">
        <f>INDEX(PT_DIFFERENTIATION_VDET,MATCH(A155,PT_DIFFERENTIATION_VTAR_ID,0))</f>
        <v/>
      </c>
      <c r="G155" s="1686"/>
      <c r="H155" s="1655"/>
      <c r="I155" s="1693"/>
      <c r="J155" s="1698"/>
      <c r="K155" s="1685" t="s">
        <v>297</v>
      </c>
      <c r="L155" s="263"/>
      <c r="M155" s="256"/>
      <c r="N155" s="1541"/>
      <c r="O155" s="1541"/>
    </row>
    <row r="156" spans="1:15" s="1552" customFormat="1" ht="18.75" hidden="1" customHeight="1">
      <c r="A156" s="1700"/>
      <c r="B156" s="293" t="s">
        <v>1675</v>
      </c>
      <c r="C156" s="2170"/>
      <c r="D156" s="1953"/>
      <c r="E156" s="2009"/>
      <c r="F156" s="2009"/>
      <c r="G156" s="329"/>
      <c r="H156" s="324" t="s">
        <v>1570</v>
      </c>
      <c r="I156" s="270"/>
      <c r="J156" s="330"/>
      <c r="K156" s="118"/>
      <c r="L156" s="263"/>
      <c r="M156" s="256"/>
      <c r="N156" s="1541"/>
      <c r="O156" s="1541"/>
    </row>
    <row r="157" spans="1:15" s="1552" customFormat="1" ht="18.75" hidden="1" customHeight="1">
      <c r="A157" s="1700" t="s">
        <v>226</v>
      </c>
      <c r="B157" s="293"/>
      <c r="C157" s="2170"/>
      <c r="D157" s="1953"/>
      <c r="E157" s="2009" t="str">
        <f>INDEX(PT_DIFFERENTIATION_VTAR,MATCH(A157,PT_DIFFERENTIATION_VTAR_ID,0))</f>
        <v>Тариф на транспортировку воды</v>
      </c>
      <c r="F157" s="2009" t="str">
        <f>INDEX(PT_DIFFERENTIATION_VDET,MATCH(A157,PT_DIFFERENTIATION_VTAR_ID,0))</f>
        <v/>
      </c>
      <c r="G157" s="1686"/>
      <c r="H157" s="1655"/>
      <c r="I157" s="1693"/>
      <c r="J157" s="1698"/>
      <c r="K157" s="1685" t="s">
        <v>297</v>
      </c>
      <c r="L157" s="263"/>
      <c r="M157" s="256"/>
      <c r="N157" s="1541"/>
      <c r="O157" s="1541"/>
    </row>
    <row r="158" spans="1:15" s="1552" customFormat="1" ht="18.75" hidden="1" customHeight="1">
      <c r="A158" s="1700"/>
      <c r="B158" s="293" t="s">
        <v>1675</v>
      </c>
      <c r="C158" s="2170"/>
      <c r="D158" s="1953"/>
      <c r="E158" s="2009"/>
      <c r="F158" s="2009"/>
      <c r="G158" s="329"/>
      <c r="H158" s="324" t="s">
        <v>1570</v>
      </c>
      <c r="I158" s="270"/>
      <c r="J158" s="330"/>
      <c r="K158" s="118"/>
      <c r="L158" s="263"/>
      <c r="M158" s="256"/>
      <c r="N158" s="1541"/>
      <c r="O158" s="1541"/>
    </row>
    <row r="159" spans="1:15" s="1552" customFormat="1" ht="18.75" hidden="1" customHeight="1">
      <c r="A159" s="1700" t="s">
        <v>231</v>
      </c>
      <c r="B159" s="293"/>
      <c r="C159" s="2170"/>
      <c r="D159" s="1953"/>
      <c r="E159" s="2009" t="str">
        <f>INDEX(PT_DIFFERENTIATION_VTAR,MATCH(A159,PT_DIFFERENTIATION_VTAR_ID,0))</f>
        <v>Тариф на подвоз воды</v>
      </c>
      <c r="F159" s="2009" t="str">
        <f>INDEX(PT_DIFFERENTIATION_VDET,MATCH(A159,PT_DIFFERENTIATION_VTAR_ID,0))</f>
        <v/>
      </c>
      <c r="G159" s="1686"/>
      <c r="H159" s="1655"/>
      <c r="I159" s="1693"/>
      <c r="J159" s="1698"/>
      <c r="K159" s="1685" t="s">
        <v>297</v>
      </c>
      <c r="L159" s="263"/>
      <c r="M159" s="256"/>
      <c r="N159" s="1541"/>
      <c r="O159" s="1541"/>
    </row>
    <row r="160" spans="1:15" s="1552" customFormat="1" ht="18.75" hidden="1" customHeight="1">
      <c r="A160" s="1700"/>
      <c r="B160" s="293" t="s">
        <v>1675</v>
      </c>
      <c r="C160" s="2170"/>
      <c r="D160" s="1953"/>
      <c r="E160" s="2009"/>
      <c r="F160" s="2009"/>
      <c r="G160" s="329"/>
      <c r="H160" s="324" t="s">
        <v>1570</v>
      </c>
      <c r="I160" s="270"/>
      <c r="J160" s="330"/>
      <c r="K160" s="118"/>
      <c r="L160" s="263"/>
      <c r="M160" s="256"/>
      <c r="N160" s="1541"/>
      <c r="O160" s="1541"/>
    </row>
    <row r="161" spans="1:15" s="1552" customFormat="1" ht="18.75" hidden="1" customHeight="1">
      <c r="A161" s="1700" t="s">
        <v>236</v>
      </c>
      <c r="B161" s="293"/>
      <c r="C161" s="2170"/>
      <c r="D161" s="1953"/>
      <c r="E161" s="2009" t="str">
        <f>INDEX(PT_DIFFERENTIATION_VTAR,MATCH(A161,PT_DIFFERENTIATION_VTAR_ID,0))</f>
        <v>Тариф на подключение (технологическое присоединение) к централизованной системе холодного водоснабжения</v>
      </c>
      <c r="F161" s="2009" t="str">
        <f>INDEX(PT_DIFFERENTIATION_VDET,MATCH(A161,PT_DIFFERENTIATION_VTAR_ID,0))</f>
        <v/>
      </c>
      <c r="G161" s="1686"/>
      <c r="H161" s="1655"/>
      <c r="I161" s="1693"/>
      <c r="J161" s="1698"/>
      <c r="K161" s="1685" t="s">
        <v>297</v>
      </c>
      <c r="L161" s="263"/>
      <c r="M161" s="256"/>
      <c r="N161" s="1541"/>
      <c r="O161" s="1541"/>
    </row>
    <row r="162" spans="1:15" s="1552" customFormat="1" ht="18.75" hidden="1" customHeight="1">
      <c r="A162" s="1700"/>
      <c r="B162" s="293" t="s">
        <v>1675</v>
      </c>
      <c r="C162" s="2170"/>
      <c r="D162" s="1953"/>
      <c r="E162" s="2009"/>
      <c r="F162" s="2009"/>
      <c r="G162" s="329"/>
      <c r="H162" s="324" t="s">
        <v>1570</v>
      </c>
      <c r="I162" s="270"/>
      <c r="J162" s="330"/>
      <c r="K162" s="118"/>
      <c r="L162" s="263"/>
      <c r="M162" s="256"/>
      <c r="N162" s="1541"/>
      <c r="O162" s="1541"/>
    </row>
    <row r="163" spans="1:15" s="1552" customFormat="1" ht="18.75" hidden="1" customHeight="1">
      <c r="A163" s="1700" t="s">
        <v>241</v>
      </c>
      <c r="B163" s="293"/>
      <c r="C163" s="2170"/>
      <c r="D163" s="1953"/>
      <c r="E163" s="2009" t="str">
        <f>INDEX(PT_DIFFERENTIATION_VTAR,MATCH(A163,PT_DIFFERENTIATION_VTAR_ID,0))</f>
        <v>Тариф на горячую воду (горячее водоснабжение)</v>
      </c>
      <c r="F163" s="2009" t="str">
        <f>INDEX(PT_DIFFERENTIATION_VDET,MATCH(A163,PT_DIFFERENTIATION_VTAR_ID,0))</f>
        <v/>
      </c>
      <c r="G163" s="1686"/>
      <c r="H163" s="1655"/>
      <c r="I163" s="1693"/>
      <c r="J163" s="1698"/>
      <c r="K163" s="1685" t="s">
        <v>297</v>
      </c>
      <c r="L163" s="263"/>
      <c r="M163" s="256"/>
      <c r="N163" s="1541"/>
      <c r="O163" s="1541"/>
    </row>
    <row r="164" spans="1:15" s="1552" customFormat="1" ht="18.75" hidden="1" customHeight="1">
      <c r="A164" s="1700"/>
      <c r="B164" s="293" t="s">
        <v>1675</v>
      </c>
      <c r="C164" s="2170"/>
      <c r="D164" s="1953"/>
      <c r="E164" s="2009"/>
      <c r="F164" s="2009"/>
      <c r="G164" s="329"/>
      <c r="H164" s="324" t="s">
        <v>1570</v>
      </c>
      <c r="I164" s="270"/>
      <c r="J164" s="330"/>
      <c r="K164" s="118"/>
      <c r="L164" s="263"/>
      <c r="M164" s="256"/>
      <c r="N164" s="1541"/>
      <c r="O164" s="1541"/>
    </row>
    <row r="165" spans="1:15" s="1552" customFormat="1" ht="18.75" hidden="1" customHeight="1">
      <c r="A165" s="1700" t="s">
        <v>246</v>
      </c>
      <c r="B165" s="293"/>
      <c r="C165" s="2170"/>
      <c r="D165" s="1953"/>
      <c r="E165" s="2009" t="str">
        <f>INDEX(PT_DIFFERENTIATION_VTAR,MATCH(A165,PT_DIFFERENTIATION_VTAR_ID,0))</f>
        <v>Тариф на транспортировку горячей воды</v>
      </c>
      <c r="F165" s="2009" t="str">
        <f>INDEX(PT_DIFFERENTIATION_VDET,MATCH(A165,PT_DIFFERENTIATION_VTAR_ID,0))</f>
        <v/>
      </c>
      <c r="G165" s="1686"/>
      <c r="H165" s="1655"/>
      <c r="I165" s="1693"/>
      <c r="J165" s="1698"/>
      <c r="K165" s="1685" t="s">
        <v>297</v>
      </c>
      <c r="L165" s="263"/>
      <c r="M165" s="256"/>
      <c r="N165" s="1541"/>
      <c r="O165" s="1541"/>
    </row>
    <row r="166" spans="1:15" s="1552" customFormat="1" ht="18.75" hidden="1" customHeight="1">
      <c r="A166" s="1700"/>
      <c r="B166" s="293" t="s">
        <v>1675</v>
      </c>
      <c r="C166" s="2170"/>
      <c r="D166" s="1953"/>
      <c r="E166" s="2009"/>
      <c r="F166" s="2009"/>
      <c r="G166" s="329"/>
      <c r="H166" s="324" t="s">
        <v>1570</v>
      </c>
      <c r="I166" s="270"/>
      <c r="J166" s="330"/>
      <c r="K166" s="118"/>
      <c r="L166" s="263"/>
      <c r="M166" s="256"/>
      <c r="N166" s="1541"/>
      <c r="O166" s="1541"/>
    </row>
    <row r="167" spans="1:15" s="1552" customFormat="1" ht="18.75" hidden="1" customHeight="1">
      <c r="A167" s="1700" t="s">
        <v>251</v>
      </c>
      <c r="B167" s="293"/>
      <c r="C167" s="2170"/>
      <c r="D167" s="1953"/>
      <c r="E167" s="2009" t="str">
        <f>INDEX(PT_DIFFERENTIATION_VTAR,MATCH(A167,PT_DIFFERENTIATION_VTAR_ID,0))</f>
        <v>Тариф на подключение (технологическое присоединение) к централизованной системе горячего водоснабжения</v>
      </c>
      <c r="F167" s="2009" t="str">
        <f>INDEX(PT_DIFFERENTIATION_VDET,MATCH(A167,PT_DIFFERENTIATION_VTAR_ID,0))</f>
        <v/>
      </c>
      <c r="G167" s="1686"/>
      <c r="H167" s="1655"/>
      <c r="I167" s="1693"/>
      <c r="J167" s="1698"/>
      <c r="K167" s="1685" t="s">
        <v>297</v>
      </c>
      <c r="L167" s="263"/>
      <c r="M167" s="256"/>
      <c r="N167" s="1541"/>
      <c r="O167" s="1541"/>
    </row>
    <row r="168" spans="1:15" s="1552" customFormat="1" ht="18.75" hidden="1" customHeight="1">
      <c r="A168" s="1700"/>
      <c r="B168" s="293" t="s">
        <v>1675</v>
      </c>
      <c r="C168" s="2170"/>
      <c r="D168" s="1953"/>
      <c r="E168" s="2009"/>
      <c r="F168" s="2009"/>
      <c r="G168" s="329"/>
      <c r="H168" s="324" t="s">
        <v>1570</v>
      </c>
      <c r="I168" s="270"/>
      <c r="J168" s="330"/>
      <c r="K168" s="118"/>
      <c r="L168" s="263"/>
      <c r="M168" s="256"/>
      <c r="N168" s="1541"/>
      <c r="O168" s="1541"/>
    </row>
    <row r="169" spans="1:15" s="1552" customFormat="1" ht="18.75" hidden="1" customHeight="1">
      <c r="A169" s="1700" t="s">
        <v>256</v>
      </c>
      <c r="B169" s="293"/>
      <c r="C169" s="2170"/>
      <c r="D169" s="1953"/>
      <c r="E169" s="2009" t="str">
        <f>INDEX(PT_DIFFERENTIATION_VTAR,MATCH(A169,PT_DIFFERENTIATION_VTAR_ID,0))</f>
        <v>Тариф на водоотведение</v>
      </c>
      <c r="F169" s="2009" t="str">
        <f>INDEX(PT_DIFFERENTIATION_VDET,MATCH(A169,PT_DIFFERENTIATION_VTAR_ID,0))</f>
        <v/>
      </c>
      <c r="G169" s="1686"/>
      <c r="H169" s="1655"/>
      <c r="I169" s="1693"/>
      <c r="J169" s="1698"/>
      <c r="K169" s="1685" t="s">
        <v>297</v>
      </c>
      <c r="L169" s="263"/>
      <c r="M169" s="256"/>
      <c r="N169" s="1541"/>
      <c r="O169" s="1541"/>
    </row>
    <row r="170" spans="1:15" s="1552" customFormat="1" ht="18.75" hidden="1" customHeight="1">
      <c r="A170" s="1700"/>
      <c r="B170" s="293" t="s">
        <v>1675</v>
      </c>
      <c r="C170" s="2170"/>
      <c r="D170" s="1953"/>
      <c r="E170" s="2009"/>
      <c r="F170" s="2009"/>
      <c r="G170" s="329"/>
      <c r="H170" s="324" t="s">
        <v>1570</v>
      </c>
      <c r="I170" s="270"/>
      <c r="J170" s="330"/>
      <c r="K170" s="118"/>
      <c r="L170" s="263"/>
      <c r="M170" s="256"/>
      <c r="N170" s="1541"/>
      <c r="O170" s="1541"/>
    </row>
    <row r="171" spans="1:15" s="1552" customFormat="1" ht="18.75" hidden="1" customHeight="1">
      <c r="A171" s="1700" t="s">
        <v>261</v>
      </c>
      <c r="B171" s="293"/>
      <c r="C171" s="2170"/>
      <c r="D171" s="1953"/>
      <c r="E171" s="2009" t="str">
        <f>INDEX(PT_DIFFERENTIATION_VTAR,MATCH(A171,PT_DIFFERENTIATION_VTAR_ID,0))</f>
        <v>Тариф на транспортировку сточных вод</v>
      </c>
      <c r="F171" s="2009" t="str">
        <f>INDEX(PT_DIFFERENTIATION_VDET,MATCH(A171,PT_DIFFERENTIATION_VTAR_ID,0))</f>
        <v/>
      </c>
      <c r="G171" s="1686"/>
      <c r="H171" s="1655"/>
      <c r="I171" s="1693"/>
      <c r="J171" s="1698"/>
      <c r="K171" s="1685" t="s">
        <v>297</v>
      </c>
      <c r="L171" s="263"/>
      <c r="M171" s="256"/>
      <c r="N171" s="1541"/>
      <c r="O171" s="1541"/>
    </row>
    <row r="172" spans="1:15" s="1552" customFormat="1" ht="18.75" hidden="1" customHeight="1">
      <c r="A172" s="1700"/>
      <c r="B172" s="293" t="s">
        <v>1675</v>
      </c>
      <c r="C172" s="2170"/>
      <c r="D172" s="1953"/>
      <c r="E172" s="2009"/>
      <c r="F172" s="2009"/>
      <c r="G172" s="329"/>
      <c r="H172" s="324" t="s">
        <v>1570</v>
      </c>
      <c r="I172" s="270"/>
      <c r="J172" s="330"/>
      <c r="K172" s="118"/>
      <c r="L172" s="263"/>
      <c r="M172" s="256"/>
      <c r="N172" s="1541"/>
      <c r="O172" s="1541"/>
    </row>
    <row r="173" spans="1:15" s="1552" customFormat="1" ht="18.75" hidden="1" customHeight="1">
      <c r="A173" s="1700" t="s">
        <v>266</v>
      </c>
      <c r="B173" s="293"/>
      <c r="C173" s="2170"/>
      <c r="D173" s="1953"/>
      <c r="E173" s="2009" t="str">
        <f>INDEX(PT_DIFFERENTIATION_VTAR,MATCH(A173,PT_DIFFERENTIATION_VTAR_ID,0))</f>
        <v>Тариф на подключение (технологическое присоединение) к централизованной системе водоотведения</v>
      </c>
      <c r="F173" s="2009" t="str">
        <f>INDEX(PT_DIFFERENTIATION_VDET,MATCH(A173,PT_DIFFERENTIATION_VTAR_ID,0))</f>
        <v/>
      </c>
      <c r="G173" s="1686"/>
      <c r="H173" s="1655"/>
      <c r="I173" s="1693"/>
      <c r="J173" s="1698"/>
      <c r="K173" s="1685" t="s">
        <v>297</v>
      </c>
      <c r="L173" s="263"/>
      <c r="M173" s="256"/>
      <c r="N173" s="1541"/>
      <c r="O173" s="1541"/>
    </row>
    <row r="174" spans="1:15" s="1552" customFormat="1" ht="18.75" hidden="1" customHeight="1">
      <c r="A174" s="1700"/>
      <c r="B174" s="293" t="s">
        <v>1675</v>
      </c>
      <c r="C174" s="2170"/>
      <c r="D174" s="1953"/>
      <c r="E174" s="2009"/>
      <c r="F174" s="2009"/>
      <c r="G174" s="329"/>
      <c r="H174" s="324" t="s">
        <v>1570</v>
      </c>
      <c r="I174" s="270"/>
      <c r="J174" s="330"/>
      <c r="K174" s="118"/>
      <c r="L174" s="263"/>
      <c r="M174" s="256"/>
      <c r="N174" s="1541"/>
      <c r="O174" s="1541"/>
    </row>
    <row r="175" spans="1:15" ht="25.5" customHeight="1">
      <c r="A175" s="1700"/>
      <c r="C175" s="300"/>
      <c r="D175" s="67" t="s">
        <v>92</v>
      </c>
      <c r="E175" s="2160" t="str">
        <f>"Размер экономически обоснованных расходов, не учтенных при установлении "&amp;IF(TEMPLATE_SPHERE="HEAT","регулируемых цен (тарифов)","тарифов")&amp;"в предыдущий период регулирования (при их наличии), "&amp;IF(TEMPLATE_SPHERE="HEAT","определенном в соответствии с законодательством в сфере теплоснабжения","определенных в соответствии с Основами ценообразования в сфере водоснабжения и водоотведения")</f>
        <v>Размер экономически обоснованных расходов, не учтенных при установлении тарифовв предыдущий период регулирования (при их наличии), определенных в соответствии с Основами ценообразования в сфере водоснабжения и водоотведения</v>
      </c>
      <c r="F175" s="2160"/>
      <c r="G175" s="2160"/>
      <c r="H175" s="2160"/>
      <c r="I175" s="2160"/>
      <c r="J175" s="2160"/>
      <c r="K175" s="2160"/>
      <c r="L175" s="211"/>
      <c r="M175" s="256"/>
    </row>
    <row r="176" spans="1:15" s="1552" customFormat="1" ht="56.25" hidden="1" customHeight="1">
      <c r="A176" s="1700" t="s">
        <v>160</v>
      </c>
      <c r="B176" s="293"/>
      <c r="C176" s="2170"/>
      <c r="D176" s="1953"/>
      <c r="E176" s="2009" t="str">
        <f>INDEX(PT_DIFFERENTIATION_VTAR,MATCH(A176,PT_DIFFERENTIATION_VTAR_ID,0))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F176" s="2009" t="str">
        <f>INDEX(PT_DIFFERENTIATION_VDET,MATCH(A176,PT_DIFFERENTIATION_VTAR_ID,0))</f>
        <v/>
      </c>
      <c r="G176" s="1686"/>
      <c r="H176" s="1655"/>
      <c r="I176" s="1693"/>
      <c r="J176" s="1698"/>
      <c r="K176" s="1685" t="s">
        <v>297</v>
      </c>
      <c r="L176" s="1918"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"&amp;"Величина экономически обоснованных расходов, не учтенных при регулировании тарифов в предыдущий период регулирования, указывается в колонке «Информация» в тыс. руб.
"&amp;"В случае отсутствия экономически обоснованных расходов, не учтенных при регулировании тарифов в предыдущий период регулирования, определенных в соответствии с законодательством в сфере водоснабжения и водоотведения, указывается значение «0».
"&amp;"В случае дифференциации экономически обоснованных расходов по видам тарифов и/или по срокам действия тарифов информация указывается в отдельных строках."</f>
        <v>Значение в колонке «Вид тарифа» выбирается из перечня видов тарифов в сфере холодного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экономически обоснованных расходов, не учтенных при регулировании тарифов в предыдущий период регулирования, указывается в колонке «Информация» в тыс. руб.
В случае отсутствия экономически обоснованных расходов, не учтенных при регулировании тарифов в предыдущий период регулирования, определенных в соответствии с законодательством в сфере водоснабжения и водоотведения, указывается значение «0».
В случае дифференциации экономически обоснованных расходов по видам тарифов и/или по срокам действия тарифов информация указывается в отдельных строках.</v>
      </c>
      <c r="M176" s="256"/>
      <c r="N176" s="1541"/>
      <c r="O176" s="1541"/>
    </row>
    <row r="177" spans="1:15" s="1552" customFormat="1" ht="18.75" hidden="1" customHeight="1">
      <c r="A177" s="1700"/>
      <c r="B177" s="293" t="s">
        <v>1675</v>
      </c>
      <c r="C177" s="2170"/>
      <c r="D177" s="1953"/>
      <c r="E177" s="2009"/>
      <c r="F177" s="2009"/>
      <c r="G177" s="329"/>
      <c r="H177" s="324" t="s">
        <v>1570</v>
      </c>
      <c r="I177" s="270"/>
      <c r="J177" s="330"/>
      <c r="K177" s="118"/>
      <c r="L177" s="1919"/>
      <c r="M177" s="256"/>
      <c r="N177" s="1541"/>
      <c r="O177" s="1541"/>
    </row>
    <row r="178" spans="1:15" s="1552" customFormat="1" ht="26.25" hidden="1" customHeight="1">
      <c r="A178" s="1700" t="s">
        <v>166</v>
      </c>
      <c r="B178" s="293"/>
      <c r="C178" s="2170"/>
      <c r="D178" s="1953"/>
      <c r="E178" s="2009" t="str">
        <f>INDEX(PT_DIFFERENTIATION_VTAR,MATCH(A178,PT_DIFFERENTIATION_VTAR_ID,0))</f>
        <v>Тарифы на тепловую энергию (мощность), поставляемую теплоснабжающими организациями потребителям, другим теплоснабжающим организациям</v>
      </c>
      <c r="F178" s="2009" t="str">
        <f>INDEX(PT_DIFFERENTIATION_VDET,MATCH(A178,PT_DIFFERENTIATION_VTAR_ID,0))</f>
        <v/>
      </c>
      <c r="G178" s="1686"/>
      <c r="H178" s="1655"/>
      <c r="I178" s="1693"/>
      <c r="J178" s="1698"/>
      <c r="K178" s="1685" t="s">
        <v>297</v>
      </c>
      <c r="L178" s="1920"/>
      <c r="M178" s="256"/>
      <c r="N178" s="1541"/>
      <c r="O178" s="1541"/>
    </row>
    <row r="179" spans="1:15" s="1552" customFormat="1" ht="18.75" hidden="1" customHeight="1">
      <c r="A179" s="1700"/>
      <c r="B179" s="293" t="s">
        <v>1675</v>
      </c>
      <c r="C179" s="2170"/>
      <c r="D179" s="1953"/>
      <c r="E179" s="2009"/>
      <c r="F179" s="2009"/>
      <c r="G179" s="329"/>
      <c r="H179" s="324" t="s">
        <v>1570</v>
      </c>
      <c r="I179" s="270"/>
      <c r="J179" s="330"/>
      <c r="K179" s="118"/>
      <c r="L179" s="263"/>
      <c r="M179" s="256"/>
      <c r="N179" s="1541"/>
      <c r="O179" s="1541"/>
    </row>
    <row r="180" spans="1:15" s="1552" customFormat="1" ht="18.75" hidden="1" customHeight="1">
      <c r="A180" s="1700" t="s">
        <v>172</v>
      </c>
      <c r="B180" s="293"/>
      <c r="C180" s="2170"/>
      <c r="D180" s="1953"/>
      <c r="E180" s="2009" t="str">
        <f>INDEX(PT_DIFFERENTIATION_VTAR,MATCH(A180,PT_DIFFERENTIATION_VTAR_ID,0))</f>
        <v>Тарифы на теплоноситель, поставляемый теплоснабжающими организациями потребителям, другим теплоснабжающим организациям</v>
      </c>
      <c r="F180" s="2009" t="str">
        <f>INDEX(PT_DIFFERENTIATION_VDET,MATCH(A180,PT_DIFFERENTIATION_VTAR_ID,0))</f>
        <v/>
      </c>
      <c r="G180" s="1686"/>
      <c r="H180" s="1655"/>
      <c r="I180" s="1693"/>
      <c r="J180" s="1698"/>
      <c r="K180" s="1685" t="s">
        <v>297</v>
      </c>
      <c r="L180" s="263"/>
      <c r="M180" s="256"/>
      <c r="N180" s="1541"/>
      <c r="O180" s="1541"/>
    </row>
    <row r="181" spans="1:15" s="1552" customFormat="1" ht="18.75" hidden="1" customHeight="1">
      <c r="A181" s="1700"/>
      <c r="B181" s="293" t="s">
        <v>1675</v>
      </c>
      <c r="C181" s="2170"/>
      <c r="D181" s="1953"/>
      <c r="E181" s="2009"/>
      <c r="F181" s="2009"/>
      <c r="G181" s="329"/>
      <c r="H181" s="324" t="s">
        <v>1570</v>
      </c>
      <c r="I181" s="270"/>
      <c r="J181" s="330"/>
      <c r="K181" s="118"/>
      <c r="L181" s="263"/>
      <c r="M181" s="256"/>
      <c r="N181" s="1541"/>
      <c r="O181" s="1541"/>
    </row>
    <row r="182" spans="1:15" s="1552" customFormat="1" ht="41.25" hidden="1" customHeight="1">
      <c r="A182" s="1700" t="s">
        <v>178</v>
      </c>
      <c r="B182" s="293"/>
      <c r="C182" s="2170"/>
      <c r="D182" s="1953"/>
      <c r="E182" s="2009" t="str">
        <f>INDEX(PT_DIFFERENTIATION_VTAR,MATCH(A182,PT_DIFFERENTIATION_VTAR_ID,0))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F182" s="2009" t="str">
        <f>INDEX(PT_DIFFERENTIATION_VDET,MATCH(A182,PT_DIFFERENTIATION_VTAR_ID,0))</f>
        <v/>
      </c>
      <c r="G182" s="1686"/>
      <c r="H182" s="1655"/>
      <c r="I182" s="1693"/>
      <c r="J182" s="1698"/>
      <c r="K182" s="1685" t="s">
        <v>297</v>
      </c>
      <c r="L182" s="263"/>
      <c r="M182" s="256"/>
      <c r="N182" s="1541"/>
      <c r="O182" s="1541"/>
    </row>
    <row r="183" spans="1:15" s="1552" customFormat="1" ht="18.75" hidden="1" customHeight="1">
      <c r="A183" s="1700"/>
      <c r="B183" s="293" t="s">
        <v>1675</v>
      </c>
      <c r="C183" s="2170"/>
      <c r="D183" s="1953"/>
      <c r="E183" s="2009"/>
      <c r="F183" s="2009"/>
      <c r="G183" s="329"/>
      <c r="H183" s="324" t="s">
        <v>1570</v>
      </c>
      <c r="I183" s="270"/>
      <c r="J183" s="330"/>
      <c r="K183" s="118"/>
      <c r="L183" s="263"/>
      <c r="M183" s="256"/>
      <c r="N183" s="1541"/>
      <c r="O183" s="1541"/>
    </row>
    <row r="184" spans="1:15" s="1552" customFormat="1" ht="18.75" hidden="1" customHeight="1">
      <c r="A184" s="1700" t="s">
        <v>184</v>
      </c>
      <c r="B184" s="293"/>
      <c r="C184" s="2170"/>
      <c r="D184" s="1953"/>
      <c r="E184" s="2009" t="str">
        <f>INDEX(PT_DIFFERENTIATION_VTAR,MATCH(A184,PT_DIFFERENTIATION_VTAR_ID,0))</f>
        <v>Тарифы на услуги по передаче тепловой энергии</v>
      </c>
      <c r="F184" s="2009" t="str">
        <f>INDEX(PT_DIFFERENTIATION_VDET,MATCH(A184,PT_DIFFERENTIATION_VTAR_ID,0))</f>
        <v/>
      </c>
      <c r="G184" s="1686"/>
      <c r="H184" s="1655"/>
      <c r="I184" s="1693"/>
      <c r="J184" s="1698"/>
      <c r="K184" s="1685" t="s">
        <v>297</v>
      </c>
      <c r="L184" s="263"/>
      <c r="M184" s="256"/>
      <c r="N184" s="1541"/>
      <c r="O184" s="1541"/>
    </row>
    <row r="185" spans="1:15" s="1552" customFormat="1" ht="18.75" hidden="1" customHeight="1">
      <c r="A185" s="1700"/>
      <c r="B185" s="293" t="s">
        <v>1675</v>
      </c>
      <c r="C185" s="2170"/>
      <c r="D185" s="1953"/>
      <c r="E185" s="2009"/>
      <c r="F185" s="2009"/>
      <c r="G185" s="329"/>
      <c r="H185" s="324" t="s">
        <v>1570</v>
      </c>
      <c r="I185" s="270"/>
      <c r="J185" s="330"/>
      <c r="K185" s="118"/>
      <c r="L185" s="263"/>
      <c r="M185" s="256"/>
      <c r="N185" s="1541"/>
      <c r="O185" s="1541"/>
    </row>
    <row r="186" spans="1:15" s="1552" customFormat="1" ht="18.75" hidden="1" customHeight="1">
      <c r="A186" s="1700" t="s">
        <v>190</v>
      </c>
      <c r="B186" s="293"/>
      <c r="C186" s="2170"/>
      <c r="D186" s="1953"/>
      <c r="E186" s="2009" t="str">
        <f>INDEX(PT_DIFFERENTIATION_VTAR,MATCH(A186,PT_DIFFERENTIATION_VTAR_ID,0))</f>
        <v>Тарифы на услуги по передаче теплоносителя</v>
      </c>
      <c r="F186" s="2009" t="str">
        <f>INDEX(PT_DIFFERENTIATION_VDET,MATCH(A186,PT_DIFFERENTIATION_VTAR_ID,0))</f>
        <v/>
      </c>
      <c r="G186" s="1686"/>
      <c r="H186" s="1655"/>
      <c r="I186" s="1693"/>
      <c r="J186" s="1698"/>
      <c r="K186" s="1685" t="s">
        <v>297</v>
      </c>
      <c r="L186" s="263"/>
      <c r="M186" s="256"/>
      <c r="N186" s="1541"/>
      <c r="O186" s="1541"/>
    </row>
    <row r="187" spans="1:15" s="1552" customFormat="1" ht="18.75" hidden="1" customHeight="1">
      <c r="A187" s="1700"/>
      <c r="B187" s="293" t="s">
        <v>1675</v>
      </c>
      <c r="C187" s="2170"/>
      <c r="D187" s="1953"/>
      <c r="E187" s="2009"/>
      <c r="F187" s="2009"/>
      <c r="G187" s="329"/>
      <c r="H187" s="324" t="s">
        <v>1570</v>
      </c>
      <c r="I187" s="270"/>
      <c r="J187" s="330"/>
      <c r="K187" s="118"/>
      <c r="L187" s="263"/>
      <c r="M187" s="256"/>
      <c r="N187" s="1541"/>
      <c r="O187" s="1541"/>
    </row>
    <row r="188" spans="1:15" s="1552" customFormat="1" ht="18.75" hidden="1" customHeight="1">
      <c r="A188" s="1700" t="s">
        <v>196</v>
      </c>
      <c r="B188" s="293"/>
      <c r="C188" s="2170"/>
      <c r="D188" s="1953"/>
      <c r="E188" s="2009" t="str">
        <f>INDEX(PT_DIFFERENTIATION_VTAR,MATCH(A188,PT_DIFFERENTIATION_VTAR_ID,0))</f>
        <v>Плата за услуги по поддержанию резервной тепловой мощности при отсутствии потребления тепловой энергии</v>
      </c>
      <c r="F188" s="2009" t="str">
        <f>INDEX(PT_DIFFERENTIATION_VDET,MATCH(A188,PT_DIFFERENTIATION_VTAR_ID,0))</f>
        <v/>
      </c>
      <c r="G188" s="1686"/>
      <c r="H188" s="1655"/>
      <c r="I188" s="1693"/>
      <c r="J188" s="1698"/>
      <c r="K188" s="1685" t="s">
        <v>297</v>
      </c>
      <c r="L188" s="263"/>
      <c r="M188" s="256"/>
      <c r="N188" s="1541"/>
      <c r="O188" s="1541"/>
    </row>
    <row r="189" spans="1:15" s="1552" customFormat="1" ht="18.75" hidden="1" customHeight="1">
      <c r="A189" s="1700"/>
      <c r="B189" s="293" t="s">
        <v>1675</v>
      </c>
      <c r="C189" s="2170"/>
      <c r="D189" s="1953"/>
      <c r="E189" s="2009"/>
      <c r="F189" s="2009"/>
      <c r="G189" s="329"/>
      <c r="H189" s="324" t="s">
        <v>1570</v>
      </c>
      <c r="I189" s="270"/>
      <c r="J189" s="330"/>
      <c r="K189" s="118"/>
      <c r="L189" s="263"/>
      <c r="M189" s="256"/>
      <c r="N189" s="1541"/>
      <c r="O189" s="1541"/>
    </row>
    <row r="190" spans="1:15" s="1552" customFormat="1" ht="18.75" hidden="1" customHeight="1">
      <c r="A190" s="1700" t="s">
        <v>202</v>
      </c>
      <c r="B190" s="293"/>
      <c r="C190" s="2170"/>
      <c r="D190" s="1953"/>
      <c r="E190" s="2009" t="str">
        <f>INDEX(PT_DIFFERENTIATION_VTAR,MATCH(A190,PT_DIFFERENTIATION_VTAR_ID,0))</f>
        <v>Плата за подключение (технологическое присоединение) к системе теплоснабжения</v>
      </c>
      <c r="F190" s="2009" t="str">
        <f>INDEX(PT_DIFFERENTIATION_VDET,MATCH(A190,PT_DIFFERENTIATION_VTAR_ID,0))</f>
        <v/>
      </c>
      <c r="G190" s="1686"/>
      <c r="H190" s="1655"/>
      <c r="I190" s="1693"/>
      <c r="J190" s="1698"/>
      <c r="K190" s="1685" t="s">
        <v>297</v>
      </c>
      <c r="L190" s="263"/>
      <c r="M190" s="256"/>
      <c r="N190" s="1541"/>
      <c r="O190" s="1541"/>
    </row>
    <row r="191" spans="1:15" s="1552" customFormat="1" ht="18.75" hidden="1" customHeight="1">
      <c r="A191" s="1700"/>
      <c r="B191" s="293" t="s">
        <v>1675</v>
      </c>
      <c r="C191" s="2170"/>
      <c r="D191" s="1953"/>
      <c r="E191" s="2009"/>
      <c r="F191" s="2009"/>
      <c r="G191" s="329"/>
      <c r="H191" s="324" t="s">
        <v>1570</v>
      </c>
      <c r="I191" s="270"/>
      <c r="J191" s="330"/>
      <c r="K191" s="118"/>
      <c r="L191" s="263"/>
      <c r="M191" s="256"/>
      <c r="N191" s="1541"/>
      <c r="O191" s="1541"/>
    </row>
    <row r="192" spans="1:15" s="1552" customFormat="1" ht="18.75" hidden="1" customHeight="1">
      <c r="A192" s="1700" t="s">
        <v>216</v>
      </c>
      <c r="B192" s="293"/>
      <c r="C192" s="2170"/>
      <c r="D192" s="1953"/>
      <c r="E192" s="2009" t="str">
        <f>INDEX(PT_DIFFERENTIATION_VTAR,MATCH(A192,PT_DIFFERENTIATION_VTAR_ID,0))</f>
        <v>Тариф на питьевую воду (питьевое водоснабжение)</v>
      </c>
      <c r="F192" s="2009" t="str">
        <f>INDEX(PT_DIFFERENTIATION_VDET,MATCH(A192,PT_DIFFERENTIATION_VTAR_ID,0))</f>
        <v/>
      </c>
      <c r="G192" s="1686"/>
      <c r="H192" s="1655"/>
      <c r="I192" s="1693"/>
      <c r="J192" s="1698"/>
      <c r="K192" s="1685" t="s">
        <v>297</v>
      </c>
      <c r="L192" s="263"/>
      <c r="M192" s="256"/>
      <c r="N192" s="1541"/>
      <c r="O192" s="1541"/>
    </row>
    <row r="193" spans="1:15" s="1552" customFormat="1" ht="18.75" hidden="1" customHeight="1">
      <c r="A193" s="1700"/>
      <c r="B193" s="293" t="s">
        <v>1675</v>
      </c>
      <c r="C193" s="2170"/>
      <c r="D193" s="1953"/>
      <c r="E193" s="2009"/>
      <c r="F193" s="2009"/>
      <c r="G193" s="329"/>
      <c r="H193" s="324" t="s">
        <v>1570</v>
      </c>
      <c r="I193" s="270"/>
      <c r="J193" s="330"/>
      <c r="K193" s="118"/>
      <c r="L193" s="263"/>
      <c r="M193" s="256"/>
      <c r="N193" s="1541"/>
      <c r="O193" s="1541"/>
    </row>
    <row r="194" spans="1:15" s="1552" customFormat="1" ht="18.75" hidden="1" customHeight="1">
      <c r="A194" s="1700" t="s">
        <v>221</v>
      </c>
      <c r="B194" s="293"/>
      <c r="C194" s="2170"/>
      <c r="D194" s="1953"/>
      <c r="E194" s="2009" t="str">
        <f>INDEX(PT_DIFFERENTIATION_VTAR,MATCH(A194,PT_DIFFERENTIATION_VTAR_ID,0))</f>
        <v>Тариф на техническую воду</v>
      </c>
      <c r="F194" s="2009" t="str">
        <f>INDEX(PT_DIFFERENTIATION_VDET,MATCH(A194,PT_DIFFERENTIATION_VTAR_ID,0))</f>
        <v/>
      </c>
      <c r="G194" s="1686"/>
      <c r="H194" s="1655"/>
      <c r="I194" s="1693"/>
      <c r="J194" s="1698"/>
      <c r="K194" s="1685" t="s">
        <v>297</v>
      </c>
      <c r="L194" s="263"/>
      <c r="M194" s="256"/>
      <c r="N194" s="1541"/>
      <c r="O194" s="1541"/>
    </row>
    <row r="195" spans="1:15" s="1552" customFormat="1" ht="18.75" hidden="1" customHeight="1">
      <c r="A195" s="1700"/>
      <c r="B195" s="293" t="s">
        <v>1675</v>
      </c>
      <c r="C195" s="2170"/>
      <c r="D195" s="1953"/>
      <c r="E195" s="2009"/>
      <c r="F195" s="2009"/>
      <c r="G195" s="329"/>
      <c r="H195" s="324" t="s">
        <v>1570</v>
      </c>
      <c r="I195" s="270"/>
      <c r="J195" s="330"/>
      <c r="K195" s="118"/>
      <c r="L195" s="263"/>
      <c r="M195" s="256"/>
      <c r="N195" s="1541"/>
      <c r="O195" s="1541"/>
    </row>
    <row r="196" spans="1:15" s="1552" customFormat="1" ht="18.75" hidden="1" customHeight="1">
      <c r="A196" s="1700" t="s">
        <v>226</v>
      </c>
      <c r="B196" s="293"/>
      <c r="C196" s="2170"/>
      <c r="D196" s="1953"/>
      <c r="E196" s="2009" t="str">
        <f>INDEX(PT_DIFFERENTIATION_VTAR,MATCH(A196,PT_DIFFERENTIATION_VTAR_ID,0))</f>
        <v>Тариф на транспортировку воды</v>
      </c>
      <c r="F196" s="2009" t="str">
        <f>INDEX(PT_DIFFERENTIATION_VDET,MATCH(A196,PT_DIFFERENTIATION_VTAR_ID,0))</f>
        <v/>
      </c>
      <c r="G196" s="1686"/>
      <c r="H196" s="1655"/>
      <c r="I196" s="1693"/>
      <c r="J196" s="1698"/>
      <c r="K196" s="1685" t="s">
        <v>297</v>
      </c>
      <c r="L196" s="263"/>
      <c r="M196" s="256"/>
      <c r="N196" s="1541"/>
      <c r="O196" s="1541"/>
    </row>
    <row r="197" spans="1:15" s="1552" customFormat="1" ht="18.75" hidden="1" customHeight="1">
      <c r="A197" s="1700"/>
      <c r="B197" s="293" t="s">
        <v>1675</v>
      </c>
      <c r="C197" s="2170"/>
      <c r="D197" s="1953"/>
      <c r="E197" s="2009"/>
      <c r="F197" s="2009"/>
      <c r="G197" s="329"/>
      <c r="H197" s="324" t="s">
        <v>1570</v>
      </c>
      <c r="I197" s="270"/>
      <c r="J197" s="330"/>
      <c r="K197" s="118"/>
      <c r="L197" s="263"/>
      <c r="M197" s="256"/>
      <c r="N197" s="1541"/>
      <c r="O197" s="1541"/>
    </row>
    <row r="198" spans="1:15" s="1552" customFormat="1" ht="18.75" hidden="1" customHeight="1">
      <c r="A198" s="1700" t="s">
        <v>231</v>
      </c>
      <c r="B198" s="293"/>
      <c r="C198" s="2170"/>
      <c r="D198" s="1953"/>
      <c r="E198" s="2009" t="str">
        <f>INDEX(PT_DIFFERENTIATION_VTAR,MATCH(A198,PT_DIFFERENTIATION_VTAR_ID,0))</f>
        <v>Тариф на подвоз воды</v>
      </c>
      <c r="F198" s="2009" t="str">
        <f>INDEX(PT_DIFFERENTIATION_VDET,MATCH(A198,PT_DIFFERENTIATION_VTAR_ID,0))</f>
        <v/>
      </c>
      <c r="G198" s="1686"/>
      <c r="H198" s="1655"/>
      <c r="I198" s="1693"/>
      <c r="J198" s="1698"/>
      <c r="K198" s="1685" t="s">
        <v>297</v>
      </c>
      <c r="L198" s="263"/>
      <c r="M198" s="256"/>
      <c r="N198" s="1541"/>
      <c r="O198" s="1541"/>
    </row>
    <row r="199" spans="1:15" s="1552" customFormat="1" ht="18.75" hidden="1" customHeight="1">
      <c r="A199" s="1700"/>
      <c r="B199" s="293" t="s">
        <v>1675</v>
      </c>
      <c r="C199" s="2170"/>
      <c r="D199" s="1953"/>
      <c r="E199" s="2009"/>
      <c r="F199" s="2009"/>
      <c r="G199" s="329"/>
      <c r="H199" s="324" t="s">
        <v>1570</v>
      </c>
      <c r="I199" s="270"/>
      <c r="J199" s="330"/>
      <c r="K199" s="118"/>
      <c r="L199" s="263"/>
      <c r="M199" s="256"/>
      <c r="N199" s="1541"/>
      <c r="O199" s="1541"/>
    </row>
    <row r="200" spans="1:15" s="1552" customFormat="1" ht="18.75" hidden="1" customHeight="1">
      <c r="A200" s="1700" t="s">
        <v>236</v>
      </c>
      <c r="B200" s="293"/>
      <c r="C200" s="2170"/>
      <c r="D200" s="1953"/>
      <c r="E200" s="2009" t="str">
        <f>INDEX(PT_DIFFERENTIATION_VTAR,MATCH(A200,PT_DIFFERENTIATION_VTAR_ID,0))</f>
        <v>Тариф на подключение (технологическое присоединение) к централизованной системе холодного водоснабжения</v>
      </c>
      <c r="F200" s="2009" t="str">
        <f>INDEX(PT_DIFFERENTIATION_VDET,MATCH(A200,PT_DIFFERENTIATION_VTAR_ID,0))</f>
        <v/>
      </c>
      <c r="G200" s="1686"/>
      <c r="H200" s="1655"/>
      <c r="I200" s="1693"/>
      <c r="J200" s="1698"/>
      <c r="K200" s="1685" t="s">
        <v>297</v>
      </c>
      <c r="L200" s="263"/>
      <c r="M200" s="256"/>
      <c r="N200" s="1541"/>
      <c r="O200" s="1541"/>
    </row>
    <row r="201" spans="1:15" s="1552" customFormat="1" ht="18.75" hidden="1" customHeight="1">
      <c r="A201" s="1700"/>
      <c r="B201" s="293" t="s">
        <v>1675</v>
      </c>
      <c r="C201" s="2170"/>
      <c r="D201" s="1953"/>
      <c r="E201" s="2009"/>
      <c r="F201" s="2009"/>
      <c r="G201" s="329"/>
      <c r="H201" s="324" t="s">
        <v>1570</v>
      </c>
      <c r="I201" s="270"/>
      <c r="J201" s="330"/>
      <c r="K201" s="118"/>
      <c r="L201" s="263"/>
      <c r="M201" s="256"/>
      <c r="N201" s="1541"/>
      <c r="O201" s="1541"/>
    </row>
    <row r="202" spans="1:15" s="1552" customFormat="1" ht="18.75" hidden="1" customHeight="1">
      <c r="A202" s="1700" t="s">
        <v>241</v>
      </c>
      <c r="B202" s="293"/>
      <c r="C202" s="2170"/>
      <c r="D202" s="1953"/>
      <c r="E202" s="2009" t="str">
        <f>INDEX(PT_DIFFERENTIATION_VTAR,MATCH(A202,PT_DIFFERENTIATION_VTAR_ID,0))</f>
        <v>Тариф на горячую воду (горячее водоснабжение)</v>
      </c>
      <c r="F202" s="2009" t="str">
        <f>INDEX(PT_DIFFERENTIATION_VDET,MATCH(A202,PT_DIFFERENTIATION_VTAR_ID,0))</f>
        <v/>
      </c>
      <c r="G202" s="1686"/>
      <c r="H202" s="1655"/>
      <c r="I202" s="1693"/>
      <c r="J202" s="1698"/>
      <c r="K202" s="1685" t="s">
        <v>297</v>
      </c>
      <c r="L202" s="263"/>
      <c r="M202" s="256"/>
      <c r="N202" s="1541"/>
      <c r="O202" s="1541"/>
    </row>
    <row r="203" spans="1:15" s="1552" customFormat="1" ht="18.75" hidden="1" customHeight="1">
      <c r="A203" s="1700"/>
      <c r="B203" s="293" t="s">
        <v>1675</v>
      </c>
      <c r="C203" s="2170"/>
      <c r="D203" s="1953"/>
      <c r="E203" s="2009"/>
      <c r="F203" s="2009"/>
      <c r="G203" s="329"/>
      <c r="H203" s="324" t="s">
        <v>1570</v>
      </c>
      <c r="I203" s="270"/>
      <c r="J203" s="330"/>
      <c r="K203" s="118"/>
      <c r="L203" s="263"/>
      <c r="M203" s="256"/>
      <c r="N203" s="1541"/>
      <c r="O203" s="1541"/>
    </row>
    <row r="204" spans="1:15" s="1552" customFormat="1" ht="18.75" hidden="1" customHeight="1">
      <c r="A204" s="1700" t="s">
        <v>246</v>
      </c>
      <c r="B204" s="293"/>
      <c r="C204" s="2170"/>
      <c r="D204" s="1953"/>
      <c r="E204" s="2009" t="str">
        <f>INDEX(PT_DIFFERENTIATION_VTAR,MATCH(A204,PT_DIFFERENTIATION_VTAR_ID,0))</f>
        <v>Тариф на транспортировку горячей воды</v>
      </c>
      <c r="F204" s="2009" t="str">
        <f>INDEX(PT_DIFFERENTIATION_VDET,MATCH(A204,PT_DIFFERENTIATION_VTAR_ID,0))</f>
        <v/>
      </c>
      <c r="G204" s="1686"/>
      <c r="H204" s="1655"/>
      <c r="I204" s="1693"/>
      <c r="J204" s="1698"/>
      <c r="K204" s="1685" t="s">
        <v>297</v>
      </c>
      <c r="L204" s="263"/>
      <c r="M204" s="256"/>
      <c r="N204" s="1541"/>
      <c r="O204" s="1541"/>
    </row>
    <row r="205" spans="1:15" s="1552" customFormat="1" ht="18.75" hidden="1" customHeight="1">
      <c r="A205" s="1700"/>
      <c r="B205" s="293" t="s">
        <v>1675</v>
      </c>
      <c r="C205" s="2170"/>
      <c r="D205" s="1953"/>
      <c r="E205" s="2009"/>
      <c r="F205" s="2009"/>
      <c r="G205" s="329"/>
      <c r="H205" s="324" t="s">
        <v>1570</v>
      </c>
      <c r="I205" s="270"/>
      <c r="J205" s="330"/>
      <c r="K205" s="118"/>
      <c r="L205" s="263"/>
      <c r="M205" s="256"/>
      <c r="N205" s="1541"/>
      <c r="O205" s="1541"/>
    </row>
    <row r="206" spans="1:15" s="1552" customFormat="1" ht="18.75" hidden="1" customHeight="1">
      <c r="A206" s="1700" t="s">
        <v>251</v>
      </c>
      <c r="B206" s="293"/>
      <c r="C206" s="2170"/>
      <c r="D206" s="1953"/>
      <c r="E206" s="2009" t="str">
        <f>INDEX(PT_DIFFERENTIATION_VTAR,MATCH(A206,PT_DIFFERENTIATION_VTAR_ID,0))</f>
        <v>Тариф на подключение (технологическое присоединение) к централизованной системе горячего водоснабжения</v>
      </c>
      <c r="F206" s="2009" t="str">
        <f>INDEX(PT_DIFFERENTIATION_VDET,MATCH(A206,PT_DIFFERENTIATION_VTAR_ID,0))</f>
        <v/>
      </c>
      <c r="G206" s="1686"/>
      <c r="H206" s="1655"/>
      <c r="I206" s="1693"/>
      <c r="J206" s="1698"/>
      <c r="K206" s="1685" t="s">
        <v>297</v>
      </c>
      <c r="L206" s="263"/>
      <c r="M206" s="256"/>
      <c r="N206" s="1541"/>
      <c r="O206" s="1541"/>
    </row>
    <row r="207" spans="1:15" s="1552" customFormat="1" ht="18.75" hidden="1" customHeight="1">
      <c r="A207" s="1700"/>
      <c r="B207" s="293" t="s">
        <v>1675</v>
      </c>
      <c r="C207" s="2170"/>
      <c r="D207" s="1953"/>
      <c r="E207" s="2009"/>
      <c r="F207" s="2009"/>
      <c r="G207" s="329"/>
      <c r="H207" s="324" t="s">
        <v>1570</v>
      </c>
      <c r="I207" s="270"/>
      <c r="J207" s="330"/>
      <c r="K207" s="118"/>
      <c r="L207" s="263"/>
      <c r="M207" s="256"/>
      <c r="N207" s="1541"/>
      <c r="O207" s="1541"/>
    </row>
    <row r="208" spans="1:15" s="1552" customFormat="1" ht="18.75" hidden="1" customHeight="1">
      <c r="A208" s="1700" t="s">
        <v>256</v>
      </c>
      <c r="B208" s="293"/>
      <c r="C208" s="2170"/>
      <c r="D208" s="1953"/>
      <c r="E208" s="2009" t="str">
        <f>INDEX(PT_DIFFERENTIATION_VTAR,MATCH(A208,PT_DIFFERENTIATION_VTAR_ID,0))</f>
        <v>Тариф на водоотведение</v>
      </c>
      <c r="F208" s="2009" t="str">
        <f>INDEX(PT_DIFFERENTIATION_VDET,MATCH(A208,PT_DIFFERENTIATION_VTAR_ID,0))</f>
        <v/>
      </c>
      <c r="G208" s="1686"/>
      <c r="H208" s="1655"/>
      <c r="I208" s="1693"/>
      <c r="J208" s="1698"/>
      <c r="K208" s="1685" t="s">
        <v>297</v>
      </c>
      <c r="L208" s="263"/>
      <c r="M208" s="256"/>
      <c r="N208" s="1541"/>
      <c r="O208" s="1541"/>
    </row>
    <row r="209" spans="1:15" s="1552" customFormat="1" ht="18.75" hidden="1" customHeight="1">
      <c r="A209" s="1700"/>
      <c r="B209" s="293" t="s">
        <v>1675</v>
      </c>
      <c r="C209" s="2170"/>
      <c r="D209" s="1953"/>
      <c r="E209" s="2009"/>
      <c r="F209" s="2009"/>
      <c r="G209" s="329"/>
      <c r="H209" s="324" t="s">
        <v>1570</v>
      </c>
      <c r="I209" s="270"/>
      <c r="J209" s="330"/>
      <c r="K209" s="118"/>
      <c r="L209" s="263"/>
      <c r="M209" s="256"/>
      <c r="N209" s="1541"/>
      <c r="O209" s="1541"/>
    </row>
    <row r="210" spans="1:15" s="1552" customFormat="1" ht="18.75" hidden="1" customHeight="1">
      <c r="A210" s="1700" t="s">
        <v>261</v>
      </c>
      <c r="B210" s="293"/>
      <c r="C210" s="2170"/>
      <c r="D210" s="1953"/>
      <c r="E210" s="2009" t="str">
        <f>INDEX(PT_DIFFERENTIATION_VTAR,MATCH(A210,PT_DIFFERENTIATION_VTAR_ID,0))</f>
        <v>Тариф на транспортировку сточных вод</v>
      </c>
      <c r="F210" s="2009" t="str">
        <f>INDEX(PT_DIFFERENTIATION_VDET,MATCH(A210,PT_DIFFERENTIATION_VTAR_ID,0))</f>
        <v/>
      </c>
      <c r="G210" s="1686"/>
      <c r="H210" s="1655"/>
      <c r="I210" s="1693"/>
      <c r="J210" s="1698"/>
      <c r="K210" s="1685" t="s">
        <v>297</v>
      </c>
      <c r="L210" s="263"/>
      <c r="M210" s="256"/>
      <c r="N210" s="1541"/>
      <c r="O210" s="1541"/>
    </row>
    <row r="211" spans="1:15" s="1552" customFormat="1" ht="18.75" hidden="1" customHeight="1">
      <c r="A211" s="1700"/>
      <c r="B211" s="293" t="s">
        <v>1675</v>
      </c>
      <c r="C211" s="2170"/>
      <c r="D211" s="1953"/>
      <c r="E211" s="2009"/>
      <c r="F211" s="2009"/>
      <c r="G211" s="329"/>
      <c r="H211" s="324" t="s">
        <v>1570</v>
      </c>
      <c r="I211" s="270"/>
      <c r="J211" s="330"/>
      <c r="K211" s="118"/>
      <c r="L211" s="263"/>
      <c r="M211" s="256"/>
      <c r="N211" s="1541"/>
      <c r="O211" s="1541"/>
    </row>
    <row r="212" spans="1:15" s="1552" customFormat="1" ht="18.75" hidden="1" customHeight="1">
      <c r="A212" s="1700" t="s">
        <v>266</v>
      </c>
      <c r="B212" s="293"/>
      <c r="C212" s="2170"/>
      <c r="D212" s="1953"/>
      <c r="E212" s="2009" t="str">
        <f>INDEX(PT_DIFFERENTIATION_VTAR,MATCH(A212,PT_DIFFERENTIATION_VTAR_ID,0))</f>
        <v>Тариф на подключение (технологическое присоединение) к централизованной системе водоотведения</v>
      </c>
      <c r="F212" s="2009" t="str">
        <f>INDEX(PT_DIFFERENTIATION_VDET,MATCH(A212,PT_DIFFERENTIATION_VTAR_ID,0))</f>
        <v/>
      </c>
      <c r="G212" s="1686"/>
      <c r="H212" s="1655"/>
      <c r="I212" s="1693"/>
      <c r="J212" s="1698"/>
      <c r="K212" s="1685" t="s">
        <v>297</v>
      </c>
      <c r="L212" s="263"/>
      <c r="M212" s="256"/>
      <c r="N212" s="1541"/>
      <c r="O212" s="1541"/>
    </row>
    <row r="213" spans="1:15" s="1552" customFormat="1" ht="18.75" hidden="1" customHeight="1">
      <c r="A213" s="1700"/>
      <c r="B213" s="293" t="s">
        <v>1675</v>
      </c>
      <c r="C213" s="2170"/>
      <c r="D213" s="1953"/>
      <c r="E213" s="2009"/>
      <c r="F213" s="2009"/>
      <c r="G213" s="329"/>
      <c r="H213" s="324" t="s">
        <v>1570</v>
      </c>
      <c r="I213" s="270"/>
      <c r="J213" s="330"/>
      <c r="K213" s="118"/>
      <c r="L213" s="263"/>
      <c r="M213" s="256"/>
      <c r="N213" s="1541"/>
      <c r="O213" s="1541"/>
    </row>
    <row r="214" spans="1:15" s="1743" customFormat="1" ht="3" customHeight="1">
      <c r="A214" s="1700"/>
      <c r="B214" s="1701"/>
      <c r="D214" s="332"/>
      <c r="E214" s="332"/>
      <c r="F214" s="332"/>
      <c r="G214" s="332"/>
      <c r="H214" s="332"/>
      <c r="I214" s="332"/>
      <c r="J214" s="332"/>
      <c r="K214" s="332"/>
      <c r="L214" s="332"/>
      <c r="N214" s="113"/>
      <c r="O214" s="113"/>
    </row>
    <row r="215" spans="1:15" ht="24.75" customHeight="1">
      <c r="D215" s="119"/>
      <c r="E215" s="2075"/>
      <c r="F215" s="2075"/>
      <c r="G215" s="2075"/>
      <c r="H215" s="2075"/>
      <c r="I215" s="2075"/>
      <c r="J215" s="2075"/>
      <c r="K215" s="2075"/>
      <c r="L215" s="2075"/>
    </row>
  </sheetData>
  <sheetProtection formatColumns="0" formatRows="0" insertRows="0" deleteColumns="0" deleteRows="0" sort="0" autoFilter="0"/>
  <mergeCells count="406">
    <mergeCell ref="C212:C213"/>
    <mergeCell ref="D212:D213"/>
    <mergeCell ref="E212:E213"/>
    <mergeCell ref="F212:F213"/>
    <mergeCell ref="L176:L178"/>
    <mergeCell ref="C208:C209"/>
    <mergeCell ref="D208:D209"/>
    <mergeCell ref="E208:E209"/>
    <mergeCell ref="F208:F209"/>
    <mergeCell ref="C210:C211"/>
    <mergeCell ref="D210:D211"/>
    <mergeCell ref="E210:E211"/>
    <mergeCell ref="F210:F211"/>
    <mergeCell ref="C204:C205"/>
    <mergeCell ref="D204:D205"/>
    <mergeCell ref="E204:E205"/>
    <mergeCell ref="F204:F205"/>
    <mergeCell ref="C206:C207"/>
    <mergeCell ref="D206:D207"/>
    <mergeCell ref="E206:E207"/>
    <mergeCell ref="F206:F207"/>
    <mergeCell ref="C200:C201"/>
    <mergeCell ref="D200:D201"/>
    <mergeCell ref="E200:E201"/>
    <mergeCell ref="F200:F201"/>
    <mergeCell ref="C202:C203"/>
    <mergeCell ref="D202:D203"/>
    <mergeCell ref="E202:E203"/>
    <mergeCell ref="F202:F203"/>
    <mergeCell ref="C196:C197"/>
    <mergeCell ref="D196:D197"/>
    <mergeCell ref="E196:E197"/>
    <mergeCell ref="F196:F197"/>
    <mergeCell ref="C198:C199"/>
    <mergeCell ref="D198:D199"/>
    <mergeCell ref="E198:E199"/>
    <mergeCell ref="F198:F199"/>
    <mergeCell ref="E182:E183"/>
    <mergeCell ref="F182:F183"/>
    <mergeCell ref="C192:C193"/>
    <mergeCell ref="D192:D193"/>
    <mergeCell ref="E192:E193"/>
    <mergeCell ref="F192:F193"/>
    <mergeCell ref="C194:C195"/>
    <mergeCell ref="D194:D195"/>
    <mergeCell ref="E194:E195"/>
    <mergeCell ref="F194:F195"/>
    <mergeCell ref="C188:C189"/>
    <mergeCell ref="D188:D189"/>
    <mergeCell ref="E188:E189"/>
    <mergeCell ref="F188:F189"/>
    <mergeCell ref="C190:C191"/>
    <mergeCell ref="D190:D191"/>
    <mergeCell ref="E190:E191"/>
    <mergeCell ref="F190:F191"/>
    <mergeCell ref="C171:C172"/>
    <mergeCell ref="D171:D172"/>
    <mergeCell ref="E171:E172"/>
    <mergeCell ref="F171:F172"/>
    <mergeCell ref="C173:C174"/>
    <mergeCell ref="D173:D174"/>
    <mergeCell ref="E173:E174"/>
    <mergeCell ref="F173:F174"/>
    <mergeCell ref="C167:C168"/>
    <mergeCell ref="D167:D168"/>
    <mergeCell ref="E167:E168"/>
    <mergeCell ref="F167:F168"/>
    <mergeCell ref="C169:C170"/>
    <mergeCell ref="D169:D170"/>
    <mergeCell ref="E169:E170"/>
    <mergeCell ref="F169:F170"/>
    <mergeCell ref="C163:C164"/>
    <mergeCell ref="D163:D164"/>
    <mergeCell ref="E163:E164"/>
    <mergeCell ref="F163:F164"/>
    <mergeCell ref="C165:C166"/>
    <mergeCell ref="D165:D166"/>
    <mergeCell ref="E165:E166"/>
    <mergeCell ref="F165:F166"/>
    <mergeCell ref="C159:C160"/>
    <mergeCell ref="D159:D160"/>
    <mergeCell ref="E159:E160"/>
    <mergeCell ref="F159:F160"/>
    <mergeCell ref="C161:C162"/>
    <mergeCell ref="D161:D162"/>
    <mergeCell ref="E161:E162"/>
    <mergeCell ref="F161:F162"/>
    <mergeCell ref="C155:C156"/>
    <mergeCell ref="D155:D156"/>
    <mergeCell ref="E155:E156"/>
    <mergeCell ref="F155:F156"/>
    <mergeCell ref="C157:C158"/>
    <mergeCell ref="D157:D158"/>
    <mergeCell ref="E157:E158"/>
    <mergeCell ref="F157:F158"/>
    <mergeCell ref="C151:C152"/>
    <mergeCell ref="D151:D152"/>
    <mergeCell ref="E151:E152"/>
    <mergeCell ref="F151:F152"/>
    <mergeCell ref="C153:C154"/>
    <mergeCell ref="D153:D154"/>
    <mergeCell ref="E153:E154"/>
    <mergeCell ref="F153:F154"/>
    <mergeCell ref="C147:C148"/>
    <mergeCell ref="D147:D148"/>
    <mergeCell ref="E147:E148"/>
    <mergeCell ref="F147:F148"/>
    <mergeCell ref="C149:C150"/>
    <mergeCell ref="D149:D150"/>
    <mergeCell ref="E149:E150"/>
    <mergeCell ref="F149:F150"/>
    <mergeCell ref="C143:C144"/>
    <mergeCell ref="D143:D144"/>
    <mergeCell ref="E143:E144"/>
    <mergeCell ref="F143:F144"/>
    <mergeCell ref="C145:C146"/>
    <mergeCell ref="D145:D146"/>
    <mergeCell ref="E145:E146"/>
    <mergeCell ref="F145:F146"/>
    <mergeCell ref="C139:C140"/>
    <mergeCell ref="D139:D140"/>
    <mergeCell ref="E139:E140"/>
    <mergeCell ref="F139:F140"/>
    <mergeCell ref="C141:C142"/>
    <mergeCell ref="D141:D142"/>
    <mergeCell ref="E141:E142"/>
    <mergeCell ref="F141:F142"/>
    <mergeCell ref="C134:C135"/>
    <mergeCell ref="D134:D135"/>
    <mergeCell ref="E134:E135"/>
    <mergeCell ref="F134:F135"/>
    <mergeCell ref="C137:C138"/>
    <mergeCell ref="D137:D138"/>
    <mergeCell ref="E137:E138"/>
    <mergeCell ref="F137:F138"/>
    <mergeCell ref="C130:C131"/>
    <mergeCell ref="D130:D131"/>
    <mergeCell ref="E130:E131"/>
    <mergeCell ref="F130:F131"/>
    <mergeCell ref="C132:C133"/>
    <mergeCell ref="D132:D133"/>
    <mergeCell ref="E132:E133"/>
    <mergeCell ref="F132:F133"/>
    <mergeCell ref="C126:C127"/>
    <mergeCell ref="D126:D127"/>
    <mergeCell ref="E126:E127"/>
    <mergeCell ref="F126:F127"/>
    <mergeCell ref="C128:C129"/>
    <mergeCell ref="D128:D129"/>
    <mergeCell ref="E128:E129"/>
    <mergeCell ref="F128:F129"/>
    <mergeCell ref="C122:C123"/>
    <mergeCell ref="D122:D123"/>
    <mergeCell ref="E122:E123"/>
    <mergeCell ref="F122:F123"/>
    <mergeCell ref="C124:C125"/>
    <mergeCell ref="D124:D125"/>
    <mergeCell ref="E124:E125"/>
    <mergeCell ref="F124:F125"/>
    <mergeCell ref="C118:C119"/>
    <mergeCell ref="D118:D119"/>
    <mergeCell ref="E118:E119"/>
    <mergeCell ref="F118:F119"/>
    <mergeCell ref="C120:C121"/>
    <mergeCell ref="D120:D121"/>
    <mergeCell ref="E120:E121"/>
    <mergeCell ref="F120:F121"/>
    <mergeCell ref="C114:C115"/>
    <mergeCell ref="D114:D115"/>
    <mergeCell ref="E114:E115"/>
    <mergeCell ref="F114:F115"/>
    <mergeCell ref="C116:C117"/>
    <mergeCell ref="D116:D117"/>
    <mergeCell ref="E116:E117"/>
    <mergeCell ref="F116:F117"/>
    <mergeCell ref="C110:C111"/>
    <mergeCell ref="D110:D111"/>
    <mergeCell ref="E110:E111"/>
    <mergeCell ref="F110:F111"/>
    <mergeCell ref="C112:C113"/>
    <mergeCell ref="D112:D113"/>
    <mergeCell ref="E112:E113"/>
    <mergeCell ref="F112:F113"/>
    <mergeCell ref="C106:C107"/>
    <mergeCell ref="D106:D107"/>
    <mergeCell ref="E106:E107"/>
    <mergeCell ref="F106:F107"/>
    <mergeCell ref="C108:C109"/>
    <mergeCell ref="D108:D109"/>
    <mergeCell ref="E108:E109"/>
    <mergeCell ref="F108:F109"/>
    <mergeCell ref="C102:C103"/>
    <mergeCell ref="D102:D103"/>
    <mergeCell ref="E102:E103"/>
    <mergeCell ref="F102:F103"/>
    <mergeCell ref="C104:C105"/>
    <mergeCell ref="D104:D105"/>
    <mergeCell ref="E104:E105"/>
    <mergeCell ref="F104:F105"/>
    <mergeCell ref="F98:F99"/>
    <mergeCell ref="C100:C101"/>
    <mergeCell ref="D100:D101"/>
    <mergeCell ref="E100:E101"/>
    <mergeCell ref="F100:F101"/>
    <mergeCell ref="C93:C94"/>
    <mergeCell ref="D93:D94"/>
    <mergeCell ref="E93:E94"/>
    <mergeCell ref="F93:F94"/>
    <mergeCell ref="C95:C96"/>
    <mergeCell ref="D95:D96"/>
    <mergeCell ref="E95:E96"/>
    <mergeCell ref="F95:F96"/>
    <mergeCell ref="C98:C99"/>
    <mergeCell ref="D98:D99"/>
    <mergeCell ref="E98:E99"/>
    <mergeCell ref="C89:C90"/>
    <mergeCell ref="D89:D90"/>
    <mergeCell ref="E89:E90"/>
    <mergeCell ref="F89:F90"/>
    <mergeCell ref="C91:C92"/>
    <mergeCell ref="D91:D92"/>
    <mergeCell ref="E91:E92"/>
    <mergeCell ref="F91:F92"/>
    <mergeCell ref="C85:C86"/>
    <mergeCell ref="D85:D86"/>
    <mergeCell ref="E85:E86"/>
    <mergeCell ref="F85:F86"/>
    <mergeCell ref="C87:C88"/>
    <mergeCell ref="D87:D88"/>
    <mergeCell ref="E87:E88"/>
    <mergeCell ref="F87:F88"/>
    <mergeCell ref="C81:C82"/>
    <mergeCell ref="D81:D82"/>
    <mergeCell ref="E81:E82"/>
    <mergeCell ref="F81:F82"/>
    <mergeCell ref="C83:C84"/>
    <mergeCell ref="D83:D84"/>
    <mergeCell ref="E83:E84"/>
    <mergeCell ref="F83:F84"/>
    <mergeCell ref="C77:C78"/>
    <mergeCell ref="D77:D78"/>
    <mergeCell ref="E77:E78"/>
    <mergeCell ref="F77:F78"/>
    <mergeCell ref="C79:C80"/>
    <mergeCell ref="D79:D80"/>
    <mergeCell ref="E79:E80"/>
    <mergeCell ref="F79:F80"/>
    <mergeCell ref="C73:C74"/>
    <mergeCell ref="D73:D74"/>
    <mergeCell ref="E73:E74"/>
    <mergeCell ref="F73:F74"/>
    <mergeCell ref="C75:C76"/>
    <mergeCell ref="D75:D76"/>
    <mergeCell ref="E75:E76"/>
    <mergeCell ref="F75:F76"/>
    <mergeCell ref="C69:C70"/>
    <mergeCell ref="D69:D70"/>
    <mergeCell ref="E69:E70"/>
    <mergeCell ref="F69:F70"/>
    <mergeCell ref="C71:C72"/>
    <mergeCell ref="D71:D72"/>
    <mergeCell ref="E71:E72"/>
    <mergeCell ref="F71:F72"/>
    <mergeCell ref="F46:F47"/>
    <mergeCell ref="C48:C49"/>
    <mergeCell ref="D48:D49"/>
    <mergeCell ref="E48:E49"/>
    <mergeCell ref="F48:F49"/>
    <mergeCell ref="E65:E66"/>
    <mergeCell ref="F65:F66"/>
    <mergeCell ref="C67:C68"/>
    <mergeCell ref="D67:D68"/>
    <mergeCell ref="E67:E68"/>
    <mergeCell ref="F67:F68"/>
    <mergeCell ref="C54:C55"/>
    <mergeCell ref="D54:D55"/>
    <mergeCell ref="E54:E55"/>
    <mergeCell ref="F54:F55"/>
    <mergeCell ref="C59:C60"/>
    <mergeCell ref="D59:D60"/>
    <mergeCell ref="E59:E60"/>
    <mergeCell ref="F59:F60"/>
    <mergeCell ref="C65:C66"/>
    <mergeCell ref="D65:D66"/>
    <mergeCell ref="E56:K56"/>
    <mergeCell ref="G57:H57"/>
    <mergeCell ref="E58:K58"/>
    <mergeCell ref="C32:C33"/>
    <mergeCell ref="D32:D33"/>
    <mergeCell ref="E32:E33"/>
    <mergeCell ref="F32:F33"/>
    <mergeCell ref="C42:C43"/>
    <mergeCell ref="D42:D43"/>
    <mergeCell ref="E42:E43"/>
    <mergeCell ref="F42:F43"/>
    <mergeCell ref="C44:C45"/>
    <mergeCell ref="D44:D45"/>
    <mergeCell ref="E44:E45"/>
    <mergeCell ref="F44:F45"/>
    <mergeCell ref="C38:C39"/>
    <mergeCell ref="D38:D39"/>
    <mergeCell ref="E38:E39"/>
    <mergeCell ref="F38:F39"/>
    <mergeCell ref="C40:C41"/>
    <mergeCell ref="D40:D41"/>
    <mergeCell ref="E40:E41"/>
    <mergeCell ref="F40:F41"/>
    <mergeCell ref="L137:L139"/>
    <mergeCell ref="L59:L61"/>
    <mergeCell ref="E97:K97"/>
    <mergeCell ref="L98:L100"/>
    <mergeCell ref="E136:K136"/>
    <mergeCell ref="C34:C35"/>
    <mergeCell ref="D34:D35"/>
    <mergeCell ref="E34:E35"/>
    <mergeCell ref="F34:F35"/>
    <mergeCell ref="C36:C37"/>
    <mergeCell ref="D36:D37"/>
    <mergeCell ref="E36:E37"/>
    <mergeCell ref="F36:F37"/>
    <mergeCell ref="C50:C51"/>
    <mergeCell ref="D50:D51"/>
    <mergeCell ref="E50:E51"/>
    <mergeCell ref="F50:F51"/>
    <mergeCell ref="C52:C53"/>
    <mergeCell ref="D52:D53"/>
    <mergeCell ref="E52:E53"/>
    <mergeCell ref="F52:F53"/>
    <mergeCell ref="C46:C47"/>
    <mergeCell ref="D46:D47"/>
    <mergeCell ref="E46:E47"/>
    <mergeCell ref="E215:L215"/>
    <mergeCell ref="E175:K175"/>
    <mergeCell ref="C176:C177"/>
    <mergeCell ref="D176:D177"/>
    <mergeCell ref="E176:E177"/>
    <mergeCell ref="F176:F177"/>
    <mergeCell ref="C178:C179"/>
    <mergeCell ref="D178:D179"/>
    <mergeCell ref="E178:E179"/>
    <mergeCell ref="F178:F179"/>
    <mergeCell ref="C180:C181"/>
    <mergeCell ref="C184:C185"/>
    <mergeCell ref="D184:D185"/>
    <mergeCell ref="E184:E185"/>
    <mergeCell ref="F184:F185"/>
    <mergeCell ref="C186:C187"/>
    <mergeCell ref="D186:D187"/>
    <mergeCell ref="E186:E187"/>
    <mergeCell ref="F186:F187"/>
    <mergeCell ref="D180:D181"/>
    <mergeCell ref="E180:E181"/>
    <mergeCell ref="F180:F181"/>
    <mergeCell ref="C182:C183"/>
    <mergeCell ref="D182:D183"/>
    <mergeCell ref="C61:C62"/>
    <mergeCell ref="D61:D62"/>
    <mergeCell ref="E61:E62"/>
    <mergeCell ref="F61:F62"/>
    <mergeCell ref="C63:C64"/>
    <mergeCell ref="D63:D64"/>
    <mergeCell ref="E63:E64"/>
    <mergeCell ref="F63:F64"/>
    <mergeCell ref="L18:L55"/>
    <mergeCell ref="C20:C21"/>
    <mergeCell ref="D20:D21"/>
    <mergeCell ref="E20:E21"/>
    <mergeCell ref="F20:F21"/>
    <mergeCell ref="C22:C23"/>
    <mergeCell ref="D22:D23"/>
    <mergeCell ref="E22:E23"/>
    <mergeCell ref="F22:F23"/>
    <mergeCell ref="C24:C25"/>
    <mergeCell ref="D24:D25"/>
    <mergeCell ref="E24:E25"/>
    <mergeCell ref="C26:C27"/>
    <mergeCell ref="D26:D27"/>
    <mergeCell ref="E26:E27"/>
    <mergeCell ref="F26:F27"/>
    <mergeCell ref="C28:C29"/>
    <mergeCell ref="D28:D29"/>
    <mergeCell ref="E28:E29"/>
    <mergeCell ref="F28:F29"/>
    <mergeCell ref="C30:C31"/>
    <mergeCell ref="D30:D31"/>
    <mergeCell ref="E30:E31"/>
    <mergeCell ref="F30:F31"/>
    <mergeCell ref="E17:K17"/>
    <mergeCell ref="F24:F25"/>
    <mergeCell ref="D8:K8"/>
    <mergeCell ref="F10:K10"/>
    <mergeCell ref="F11:K11"/>
    <mergeCell ref="D13:K13"/>
    <mergeCell ref="C18:C19"/>
    <mergeCell ref="D18:D19"/>
    <mergeCell ref="E18:E19"/>
    <mergeCell ref="F18:F19"/>
    <mergeCell ref="L13:L15"/>
    <mergeCell ref="D14:D15"/>
    <mergeCell ref="E14:E15"/>
    <mergeCell ref="F14:F15"/>
    <mergeCell ref="G14:I14"/>
    <mergeCell ref="J14:J15"/>
    <mergeCell ref="K14:K15"/>
    <mergeCell ref="G15:H15"/>
    <mergeCell ref="G16:H16"/>
  </mergeCells>
  <dataValidations count="4">
    <dataValidation type="decimal" allowBlank="1" showErrorMessage="1" errorTitle="Ошибка" error="Допускается ввод только действительных чисел!" sqref="J59 J61 J63 J65 J67 J69 J71 J73 J75 J77 J79 J81 J83 J85 J87 J89 J91 J93 J95 J98 J100 J102 J104 J106 J108 J110 J112 J114 J116 J118 J120 J122 J124 J126 J128 J130 J132 J134 J137 J139 J141 J143 J145 J147 J149 J151 J153 J155 J157 J159 J161 J163 J165 J167 J169 J171 J173 J176 J178 J180 J182 J184 J186 J188 J190 J192 J194 J196 J198 J200 J202 J204 J206 J208 J210 J212 J4">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sqref="L98 L137 L17 L59 L176 L4">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K57">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H18:I18 H30:I30 H20:I20 H22:I22 H24:I24 H26:I26 H28:I28 H32:I32 H34:I34 H36:I36 H38:I38 H40:I40 H42:I42 H44:I44 H46:I46 H48:I48 H50:I50 H52:I52 H54:I54 H59:I59 H71:I71 H61:I61 H63:I63 H65:I65 H67:I67 H69:I69 H73:I73 H75:I75 H77:I77 H79:I79 H81:I81 H83:I83 H85:I85 H87:I87 H89:I89 H91:I91 H93:I93 H95:I95 H98:I98 H110:I110 H100:I100 H102:I102 H104:I104 H106:I106 H108:I108 H112:I112 H114:I114 H116:I116 H118:I118 H120:I120 H122:I122 H124:I124 H126:I126 H128:I128 H130:I130 H132:I132 H134:I134 H137:I137 H149:I149 H139:I139 H141:I141 H143:I143 H145:I145 H147:I147 H151:I151 H153:I153 H155:I155 H157:I157 H159:I159 H161:I161 H163:I163 H165:I165 H167:I167 H169:I169 H171:I171 H173:I173 H176:I176 H188:I188 H178:I178 H180:I180 H182:I182 H184:I184 H186:I186 H190:I190 H192:I192 H194:I194 H196:I196 H198:I198 H200:I200 H202:I202 H204:I204 H206:I206 H208:I208 H210:I210 H212:I212 H2:I2 H4:I4"/>
  </dataValidations>
  <pageMargins left="0.7" right="0.7" top="0.75" bottom="0.75" header="0.3" footer="0.3"/>
  <pageSetup orientation="portrait"/>
  <headerFooter>
    <oddHeader>&amp;L&amp;C&amp;R</oddHeader>
    <oddFooter>&amp;L&amp;C&amp;R</oddFooter>
    <evenHeader>&amp;L&amp;C&amp;R</evenHeader>
    <evenFooter>&amp;L&amp;C&amp;R</evenFooter>
  </headerFooter>
  <drawing r:id="rId1"/>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AP57"/>
  <sheetViews>
    <sheetView showGridLines="0" topLeftCell="P23" zoomScale="90" workbookViewId="0"/>
  </sheetViews>
  <sheetFormatPr defaultColWidth="10.5703125" defaultRowHeight="14.25" customHeight="1"/>
  <cols>
    <col min="1" max="1" width="10.5703125" style="1284" hidden="1"/>
    <col min="2" max="2" width="11" style="1284" hidden="1" customWidth="1"/>
    <col min="3" max="3" width="10.5703125" style="1284" hidden="1"/>
    <col min="4" max="4" width="11.85546875" style="1284" hidden="1" customWidth="1"/>
    <col min="5" max="5" width="10" style="1284" hidden="1" customWidth="1"/>
    <col min="6" max="6" width="8.7109375" style="1284" hidden="1" customWidth="1"/>
    <col min="7" max="7" width="7.5703125" style="1284" hidden="1" customWidth="1"/>
    <col min="8" max="8" width="11.42578125" style="1284" hidden="1" customWidth="1"/>
    <col min="9" max="9" width="14.140625" style="1284" hidden="1" customWidth="1"/>
    <col min="10" max="10" width="9.85546875" style="1284" hidden="1" customWidth="1"/>
    <col min="11" max="11" width="14.7109375" style="1284" hidden="1" customWidth="1"/>
    <col min="12" max="12" width="19.140625" style="1799" hidden="1" customWidth="1"/>
    <col min="13" max="14" width="12.28515625" style="1696" hidden="1" customWidth="1"/>
    <col min="15" max="15" width="23.42578125" style="1696" hidden="1" customWidth="1"/>
    <col min="16" max="16" width="3.7109375" style="1803" customWidth="1"/>
    <col min="17" max="18" width="3.7109375" style="265" customWidth="1"/>
    <col min="19" max="19" width="12.7109375" style="1806" customWidth="1"/>
    <col min="20" max="20" width="35.7109375" style="1552" customWidth="1"/>
    <col min="21" max="21" width="0.140625" style="1552" customWidth="1"/>
    <col min="22" max="24" width="24.7109375" style="1552" hidden="1" customWidth="1"/>
    <col min="25" max="25" width="11.7109375" style="1552" hidden="1" customWidth="1"/>
    <col min="26" max="26" width="3.7109375" style="1552" hidden="1" customWidth="1"/>
    <col min="27" max="27" width="11.7109375" style="1552" hidden="1" customWidth="1"/>
    <col min="28" max="28" width="8.5703125" style="1552" hidden="1" customWidth="1"/>
    <col min="29" max="31" width="24.7109375" style="1552" customWidth="1"/>
    <col min="32" max="32" width="11.7109375" style="1552" customWidth="1"/>
    <col min="33" max="33" width="3.7109375" style="1552" customWidth="1"/>
    <col min="34" max="34" width="11.7109375" style="1552" customWidth="1"/>
    <col min="35" max="35" width="8.5703125" style="1552" hidden="1" customWidth="1"/>
    <col min="36" max="36" width="4.7109375" style="1552" customWidth="1"/>
    <col min="37" max="37" width="115.7109375" style="1552" customWidth="1"/>
    <col min="38" max="39" width="10.5703125" style="1559"/>
    <col min="40" max="40" width="11.140625" style="1559" customWidth="1"/>
    <col min="41" max="42" width="10.5703125" style="1559"/>
  </cols>
  <sheetData>
    <row r="1" spans="1:42" ht="14.25" hidden="1" customHeight="1">
      <c r="X1" s="249"/>
      <c r="Y1" s="249"/>
      <c r="AE1" s="249"/>
      <c r="AF1" s="249"/>
    </row>
    <row r="2" spans="1:42" ht="23.25" hidden="1" customHeight="1">
      <c r="A2" s="1281"/>
      <c r="B2" s="1281"/>
      <c r="C2" s="1281"/>
      <c r="D2" s="1281"/>
      <c r="E2" s="2076">
        <v>1</v>
      </c>
      <c r="F2" s="1281"/>
      <c r="G2" s="1281"/>
      <c r="H2" s="1281"/>
      <c r="I2" s="1281"/>
      <c r="J2" s="1281"/>
      <c r="K2" s="1281"/>
      <c r="L2" s="1282"/>
      <c r="M2" s="1283"/>
      <c r="N2" s="1283"/>
      <c r="O2" s="1283"/>
      <c r="P2" s="282"/>
      <c r="Q2" s="281"/>
      <c r="R2" s="276"/>
      <c r="S2" s="1342" t="e">
        <f>INDEX(PT_DIFFERENTIATION_NUM_NTAR,MATCH(A2,PT_DIFFERENTIATION_NTAR_ID,0))</f>
        <v>#N/A</v>
      </c>
      <c r="T2" s="212" t="s">
        <v>128</v>
      </c>
      <c r="U2" s="214"/>
      <c r="V2" s="2070"/>
      <c r="W2" s="2071"/>
      <c r="X2" s="2071"/>
      <c r="Y2" s="2071"/>
      <c r="Z2" s="2071"/>
      <c r="AA2" s="2071"/>
      <c r="AB2" s="2072"/>
      <c r="AC2" s="2070" t="e">
        <f>INDEX(PT_DIFFERENTIATION_NTAR,MATCH(A2,PT_DIFFERENTIATION_NTAR_ID,0))</f>
        <v>#N/A</v>
      </c>
      <c r="AD2" s="2071"/>
      <c r="AE2" s="2071"/>
      <c r="AF2" s="2071"/>
      <c r="AG2" s="2071"/>
      <c r="AH2" s="2071"/>
      <c r="AI2" s="2071"/>
      <c r="AJ2" s="2072"/>
      <c r="AK2" s="117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426"/>
      <c r="AN2" s="426" t="str">
        <f t="shared" ref="AN2:AN13" si="0">IF(T2="","",T2)</f>
        <v>Наименование тарифа</v>
      </c>
      <c r="AO2" s="426"/>
      <c r="AP2" s="426"/>
    </row>
    <row r="3" spans="1:42" ht="23.25" hidden="1" customHeight="1">
      <c r="A3" s="1281"/>
      <c r="B3" s="1281"/>
      <c r="C3" s="1281"/>
      <c r="D3" s="1281"/>
      <c r="E3" s="2077"/>
      <c r="F3" s="2076">
        <v>1</v>
      </c>
      <c r="G3" s="1281"/>
      <c r="H3" s="1281"/>
      <c r="I3" s="1281"/>
      <c r="J3" s="1281"/>
      <c r="K3" s="1281"/>
      <c r="L3" s="1282"/>
      <c r="M3" s="1283"/>
      <c r="N3" s="1283"/>
      <c r="O3" s="1283"/>
      <c r="P3" s="1340"/>
      <c r="Q3" s="273"/>
      <c r="R3" s="274"/>
      <c r="S3" s="1342" t="e">
        <f>INDEX(PT_DIFFERENTIATION_NUM_TER,MATCH(B3,PT_DIFFERENTIATION_TER_ID,0))</f>
        <v>#N/A</v>
      </c>
      <c r="T3" s="224" t="s">
        <v>460</v>
      </c>
      <c r="U3" s="214"/>
      <c r="V3" s="2070"/>
      <c r="W3" s="2071"/>
      <c r="X3" s="2071"/>
      <c r="Y3" s="2071"/>
      <c r="Z3" s="2071"/>
      <c r="AA3" s="2071"/>
      <c r="AB3" s="2072"/>
      <c r="AC3" s="2070" t="e">
        <f>INDEX(PT_DIFFERENTIATION_TER,MATCH(B3,PT_DIFFERENTIATION_TER_ID,0))</f>
        <v>#N/A</v>
      </c>
      <c r="AD3" s="2071"/>
      <c r="AE3" s="2071"/>
      <c r="AF3" s="2071"/>
      <c r="AG3" s="2071"/>
      <c r="AH3" s="2071"/>
      <c r="AI3" s="2071"/>
      <c r="AJ3" s="2072"/>
      <c r="AK3" s="1179" t="s">
        <v>461</v>
      </c>
      <c r="AM3" s="426"/>
      <c r="AN3" s="426" t="str">
        <f t="shared" si="0"/>
        <v>Территория действия тарифа</v>
      </c>
      <c r="AO3" s="426"/>
      <c r="AP3" s="426"/>
    </row>
    <row r="4" spans="1:42" ht="23.25" hidden="1" customHeight="1">
      <c r="A4" s="1281"/>
      <c r="B4" s="1281"/>
      <c r="C4" s="1281"/>
      <c r="D4" s="1281"/>
      <c r="E4" s="2077"/>
      <c r="F4" s="2077"/>
      <c r="G4" s="2076">
        <v>1</v>
      </c>
      <c r="H4" s="1281"/>
      <c r="I4" s="1281"/>
      <c r="J4" s="1281"/>
      <c r="K4" s="1281"/>
      <c r="L4" s="1282"/>
      <c r="M4" s="1283"/>
      <c r="N4" s="1283"/>
      <c r="O4" s="1283"/>
      <c r="P4" s="275"/>
      <c r="Q4" s="273"/>
      <c r="R4" s="274"/>
      <c r="S4" s="1342" t="e">
        <f>INDEX(PT_DIFFERENTIATION_NUM_CS,MATCH(C4,PT_DIFFERENTIATION_CS_ID,0))</f>
        <v>#N/A</v>
      </c>
      <c r="T4" s="225" t="s">
        <v>1676</v>
      </c>
      <c r="U4" s="214"/>
      <c r="V4" s="2070"/>
      <c r="W4" s="2071"/>
      <c r="X4" s="2071"/>
      <c r="Y4" s="2071"/>
      <c r="Z4" s="2071"/>
      <c r="AA4" s="2071"/>
      <c r="AB4" s="2072"/>
      <c r="AC4" s="2070" t="e">
        <f>INDEX(PT_DIFFERENTIATION_CS,MATCH(C4,PT_DIFFERENTIATION_CS_ID,0))</f>
        <v>#N/A</v>
      </c>
      <c r="AD4" s="2071"/>
      <c r="AE4" s="2071"/>
      <c r="AF4" s="2071"/>
      <c r="AG4" s="2071"/>
      <c r="AH4" s="2071"/>
      <c r="AI4" s="2071"/>
      <c r="AJ4" s="2072"/>
      <c r="AK4" s="1179" t="s">
        <v>1677</v>
      </c>
      <c r="AM4" s="426"/>
      <c r="AN4" s="426" t="str">
        <f t="shared" si="0"/>
        <v>Наименование централизованной системы холодного водоснабжения</v>
      </c>
      <c r="AO4" s="426"/>
      <c r="AP4" s="426"/>
    </row>
    <row r="5" spans="1:42" ht="23.25" hidden="1" customHeight="1">
      <c r="A5" s="1281"/>
      <c r="B5" s="1281"/>
      <c r="C5" s="1281"/>
      <c r="D5" s="1281"/>
      <c r="E5" s="2077"/>
      <c r="F5" s="2077"/>
      <c r="G5" s="2077"/>
      <c r="H5" s="2077"/>
      <c r="I5" s="2078" t="e">
        <f>S4&amp;".1"</f>
        <v>#N/A</v>
      </c>
      <c r="J5" s="1281"/>
      <c r="K5" s="1281"/>
      <c r="L5" s="1282"/>
      <c r="P5" s="1995">
        <v>1</v>
      </c>
      <c r="Q5" s="1339"/>
      <c r="R5" s="277"/>
      <c r="S5" s="1342" t="e">
        <f>$I5</f>
        <v>#N/A</v>
      </c>
      <c r="T5" s="200" t="s">
        <v>1678</v>
      </c>
      <c r="U5" s="214"/>
      <c r="V5" s="2176"/>
      <c r="W5" s="2177"/>
      <c r="X5" s="2177"/>
      <c r="Y5" s="2177"/>
      <c r="Z5" s="2177"/>
      <c r="AA5" s="2177"/>
      <c r="AB5" s="2178"/>
      <c r="AC5" s="2179"/>
      <c r="AD5" s="2180"/>
      <c r="AE5" s="2180"/>
      <c r="AF5" s="2180"/>
      <c r="AG5" s="2180"/>
      <c r="AH5" s="2180"/>
      <c r="AI5" s="2180"/>
      <c r="AJ5" s="2181"/>
      <c r="AK5" s="1179" t="s">
        <v>1679</v>
      </c>
      <c r="AM5" s="426"/>
      <c r="AN5" s="426" t="str">
        <f t="shared" si="0"/>
        <v>Наименование признака дифференциации</v>
      </c>
      <c r="AO5" s="426"/>
      <c r="AP5" s="426"/>
    </row>
    <row r="6" spans="1:42" ht="23.25" hidden="1" customHeight="1">
      <c r="A6" s="1281"/>
      <c r="B6" s="1281"/>
      <c r="C6" s="1281"/>
      <c r="D6" s="1281"/>
      <c r="E6" s="2077"/>
      <c r="F6" s="2077"/>
      <c r="G6" s="2077"/>
      <c r="H6" s="2077"/>
      <c r="I6" s="2079"/>
      <c r="J6" s="2078" t="e">
        <f>I5&amp;".1"</f>
        <v>#N/A</v>
      </c>
      <c r="K6" s="1281"/>
      <c r="L6" s="1282" t="s">
        <v>469</v>
      </c>
      <c r="P6" s="1995"/>
      <c r="Q6" s="1995">
        <v>1</v>
      </c>
      <c r="R6" s="278"/>
      <c r="S6" s="1342" t="e">
        <f>$J6</f>
        <v>#N/A</v>
      </c>
      <c r="T6" s="201" t="s">
        <v>470</v>
      </c>
      <c r="U6" s="214"/>
      <c r="V6" s="2064"/>
      <c r="W6" s="2065"/>
      <c r="X6" s="2065"/>
      <c r="Y6" s="2065"/>
      <c r="Z6" s="2065"/>
      <c r="AA6" s="2065"/>
      <c r="AB6" s="2066"/>
      <c r="AC6" s="2064"/>
      <c r="AD6" s="2065"/>
      <c r="AE6" s="2065"/>
      <c r="AF6" s="2065"/>
      <c r="AG6" s="2065"/>
      <c r="AH6" s="2065"/>
      <c r="AI6" s="2065"/>
      <c r="AJ6" s="2066"/>
      <c r="AK6" s="1228" t="s">
        <v>1680</v>
      </c>
      <c r="AM6" s="426"/>
      <c r="AN6" s="426" t="str">
        <f t="shared" si="0"/>
        <v>Группа потребителей</v>
      </c>
      <c r="AO6" s="426"/>
      <c r="AP6" s="426"/>
    </row>
    <row r="7" spans="1:42" ht="23.25" hidden="1" customHeight="1">
      <c r="A7" s="1281"/>
      <c r="B7" s="1281"/>
      <c r="C7" s="1281"/>
      <c r="D7" s="1281"/>
      <c r="E7" s="2077"/>
      <c r="F7" s="2077"/>
      <c r="G7" s="2077"/>
      <c r="H7" s="2077"/>
      <c r="I7" s="2079"/>
      <c r="J7" s="2079"/>
      <c r="K7" s="2078" t="e">
        <f>J6&amp;".1"</f>
        <v>#N/A</v>
      </c>
      <c r="L7" s="1282"/>
      <c r="P7" s="1995"/>
      <c r="Q7" s="1995"/>
      <c r="R7" s="278">
        <v>1</v>
      </c>
      <c r="S7" s="1342" t="e">
        <f>$K7</f>
        <v>#N/A</v>
      </c>
      <c r="T7" s="1354"/>
      <c r="U7" s="214"/>
      <c r="V7" s="664"/>
      <c r="W7" s="664"/>
      <c r="X7" s="1178"/>
      <c r="Y7" s="2080"/>
      <c r="Z7" s="1885" t="s">
        <v>59</v>
      </c>
      <c r="AA7" s="2080"/>
      <c r="AB7" s="1885" t="s">
        <v>59</v>
      </c>
      <c r="AC7" s="664"/>
      <c r="AD7" s="664"/>
      <c r="AE7" s="1178"/>
      <c r="AF7" s="2080"/>
      <c r="AG7" s="1885" t="s">
        <v>59</v>
      </c>
      <c r="AH7" s="2082"/>
      <c r="AI7" s="1885" t="s">
        <v>59</v>
      </c>
      <c r="AJ7" s="1355"/>
      <c r="AK7" s="2182"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437" t="e">
        <f ca="1">STRCHECKDATE(V8:AJ8)</f>
        <v>#NAME?</v>
      </c>
      <c r="AM7" s="426"/>
      <c r="AN7" s="426" t="str">
        <f t="shared" si="0"/>
        <v/>
      </c>
      <c r="AO7" s="426"/>
      <c r="AP7" s="426"/>
    </row>
    <row r="8" spans="1:42" ht="14.25" hidden="1" customHeight="1">
      <c r="A8" s="1281"/>
      <c r="B8" s="1281"/>
      <c r="C8" s="1281"/>
      <c r="D8" s="1281"/>
      <c r="E8" s="2077"/>
      <c r="F8" s="2077"/>
      <c r="G8" s="2077"/>
      <c r="H8" s="2077"/>
      <c r="I8" s="2079"/>
      <c r="J8" s="2079"/>
      <c r="K8" s="2078"/>
      <c r="L8" s="1282"/>
      <c r="P8" s="1995"/>
      <c r="Q8" s="1995"/>
      <c r="R8" s="278"/>
      <c r="S8" s="1341"/>
      <c r="T8" s="214"/>
      <c r="U8" s="214"/>
      <c r="V8" s="246"/>
      <c r="W8" s="246"/>
      <c r="X8" s="250" t="str">
        <f>Y7&amp;"-"&amp;AA7</f>
        <v>-</v>
      </c>
      <c r="Y8" s="2081"/>
      <c r="Z8" s="1885"/>
      <c r="AA8" s="2081"/>
      <c r="AB8" s="1885"/>
      <c r="AC8" s="246"/>
      <c r="AD8" s="246"/>
      <c r="AE8" s="250" t="str">
        <f>AF7&amp;"-"&amp;AH7</f>
        <v>-</v>
      </c>
      <c r="AF8" s="2081"/>
      <c r="AG8" s="1885"/>
      <c r="AH8" s="2083"/>
      <c r="AI8" s="1885"/>
      <c r="AJ8" s="1356"/>
      <c r="AK8" s="2182"/>
      <c r="AM8" s="426"/>
      <c r="AN8" s="426" t="str">
        <f t="shared" si="0"/>
        <v/>
      </c>
      <c r="AO8" s="426"/>
      <c r="AP8" s="426"/>
    </row>
    <row r="9" spans="1:42" ht="21" hidden="1" customHeight="1">
      <c r="A9" s="1281"/>
      <c r="B9" s="1281"/>
      <c r="C9" s="1281"/>
      <c r="D9" s="1281"/>
      <c r="E9" s="2077"/>
      <c r="F9" s="2077"/>
      <c r="G9" s="2077"/>
      <c r="H9" s="2077"/>
      <c r="I9" s="2079"/>
      <c r="J9" s="2078"/>
      <c r="K9" s="1281"/>
      <c r="L9" s="1282"/>
      <c r="P9" s="1995"/>
      <c r="Q9" s="1995"/>
      <c r="R9" s="277"/>
      <c r="S9" s="1200"/>
      <c r="T9" s="202" t="s">
        <v>1681</v>
      </c>
      <c r="U9" s="291"/>
      <c r="V9" s="291"/>
      <c r="W9" s="291"/>
      <c r="X9" s="291"/>
      <c r="Y9" s="291"/>
      <c r="Z9" s="291"/>
      <c r="AA9" s="291"/>
      <c r="AB9" s="291"/>
      <c r="AC9" s="291"/>
      <c r="AD9" s="291"/>
      <c r="AE9" s="291"/>
      <c r="AF9" s="291"/>
      <c r="AG9" s="291"/>
      <c r="AH9" s="291"/>
      <c r="AI9" s="291"/>
      <c r="AJ9" s="291"/>
      <c r="AK9" s="1179" t="s">
        <v>1682</v>
      </c>
      <c r="AM9" s="426"/>
      <c r="AN9" s="426" t="str">
        <f t="shared" si="0"/>
        <v>Добавить значение признака дифференциации</v>
      </c>
      <c r="AO9" s="426"/>
      <c r="AP9" s="426"/>
    </row>
    <row r="10" spans="1:42" ht="21" hidden="1" customHeight="1">
      <c r="A10" s="1281"/>
      <c r="B10" s="1281"/>
      <c r="C10" s="1281"/>
      <c r="D10" s="1281"/>
      <c r="E10" s="2077"/>
      <c r="F10" s="2077"/>
      <c r="G10" s="2077"/>
      <c r="H10" s="2077"/>
      <c r="I10" s="2078"/>
      <c r="J10" s="1281"/>
      <c r="K10" s="1281"/>
      <c r="L10" s="1282"/>
      <c r="P10" s="1995"/>
      <c r="Q10" s="1339"/>
      <c r="R10" s="277"/>
      <c r="S10" s="1200"/>
      <c r="T10" s="288" t="s">
        <v>475</v>
      </c>
      <c r="U10" s="291"/>
      <c r="V10" s="291"/>
      <c r="W10" s="291"/>
      <c r="X10" s="291"/>
      <c r="Y10" s="291"/>
      <c r="Z10" s="291"/>
      <c r="AA10" s="291"/>
      <c r="AB10" s="290"/>
      <c r="AC10" s="291"/>
      <c r="AD10" s="291"/>
      <c r="AE10" s="291"/>
      <c r="AF10" s="291"/>
      <c r="AG10" s="291"/>
      <c r="AH10" s="291"/>
      <c r="AI10" s="290"/>
      <c r="AJ10" s="291"/>
      <c r="AK10" s="1357"/>
      <c r="AM10" s="426"/>
      <c r="AN10" s="426" t="str">
        <f t="shared" si="0"/>
        <v>Добавить группу потребителей</v>
      </c>
      <c r="AO10" s="426"/>
      <c r="AP10" s="426"/>
    </row>
    <row r="11" spans="1:42" ht="14.25" hidden="1" customHeight="1">
      <c r="A11" s="1281"/>
      <c r="B11" s="1281"/>
      <c r="C11" s="1281"/>
      <c r="D11" s="1281"/>
      <c r="E11" s="2077"/>
      <c r="F11" s="2077"/>
      <c r="G11" s="2077"/>
      <c r="H11" s="2076"/>
      <c r="I11" s="1281"/>
      <c r="J11" s="1281"/>
      <c r="K11" s="1281"/>
      <c r="L11" s="1282"/>
      <c r="M11" s="1283"/>
      <c r="N11" s="1283"/>
      <c r="O11" s="462"/>
      <c r="P11" s="281"/>
      <c r="Q11" s="299"/>
      <c r="R11" s="276"/>
      <c r="S11" s="1200"/>
      <c r="T11" s="296" t="s">
        <v>1683</v>
      </c>
      <c r="U11" s="291"/>
      <c r="V11" s="291"/>
      <c r="W11" s="291"/>
      <c r="X11" s="291"/>
      <c r="Y11" s="291"/>
      <c r="Z11" s="291"/>
      <c r="AA11" s="291"/>
      <c r="AB11" s="290"/>
      <c r="AC11" s="291"/>
      <c r="AD11" s="291"/>
      <c r="AE11" s="291"/>
      <c r="AF11" s="291"/>
      <c r="AG11" s="291"/>
      <c r="AH11" s="291"/>
      <c r="AI11" s="290"/>
      <c r="AJ11" s="291"/>
      <c r="AK11" s="217"/>
      <c r="AM11" s="426"/>
      <c r="AN11" s="426" t="str">
        <f t="shared" si="0"/>
        <v>Добавить наименование признака дифференциации</v>
      </c>
      <c r="AO11" s="426"/>
      <c r="AP11" s="426"/>
    </row>
    <row r="12" spans="1:42" s="1559" customFormat="1" ht="14.25" hidden="1" customHeight="1">
      <c r="A12" s="1262"/>
      <c r="B12" s="1262"/>
      <c r="C12" s="1234"/>
      <c r="D12" s="1234"/>
      <c r="E12" s="2077"/>
      <c r="F12" s="2076"/>
      <c r="G12" s="1234"/>
      <c r="H12" s="1234"/>
      <c r="I12" s="1234"/>
      <c r="J12" s="1234"/>
      <c r="K12" s="1234"/>
      <c r="L12" s="1343"/>
      <c r="M12" s="1241"/>
      <c r="N12" s="1241"/>
      <c r="P12" s="1236"/>
      <c r="Q12" s="1237"/>
      <c r="R12" s="1236"/>
      <c r="S12" s="1242"/>
      <c r="T12" s="1245" t="s">
        <v>434</v>
      </c>
      <c r="U12" s="1244"/>
      <c r="V12" s="1244"/>
      <c r="W12" s="1244"/>
      <c r="X12" s="1244"/>
      <c r="Y12" s="1244"/>
      <c r="Z12" s="1244"/>
      <c r="AA12" s="1244"/>
      <c r="AB12" s="1244"/>
      <c r="AC12" s="1244"/>
      <c r="AD12" s="1244"/>
      <c r="AE12" s="1244"/>
      <c r="AF12" s="1244"/>
      <c r="AG12" s="1244"/>
      <c r="AH12" s="1244"/>
      <c r="AI12" s="1244"/>
      <c r="AJ12" s="1244"/>
      <c r="AK12" s="1244"/>
      <c r="AM12" s="702"/>
      <c r="AN12" s="702" t="str">
        <f t="shared" si="0"/>
        <v>Добавить централизованную систему для дифференциации</v>
      </c>
      <c r="AO12" s="702"/>
      <c r="AP12" s="702"/>
    </row>
    <row r="13" spans="1:42" s="1559" customFormat="1" ht="14.25" hidden="1" customHeight="1">
      <c r="A13" s="1262"/>
      <c r="B13" s="1262"/>
      <c r="C13" s="1262"/>
      <c r="D13" s="1262"/>
      <c r="E13" s="2076"/>
      <c r="F13" s="1262"/>
      <c r="G13" s="1262"/>
      <c r="H13" s="1262"/>
      <c r="I13" s="1262"/>
      <c r="J13" s="1262"/>
      <c r="K13" s="1262"/>
      <c r="L13" s="1265"/>
      <c r="M13" s="1241"/>
      <c r="N13" s="1241"/>
      <c r="O13" s="444"/>
      <c r="P13" s="308"/>
      <c r="Q13" s="1263"/>
      <c r="R13" s="308"/>
      <c r="S13" s="1242"/>
      <c r="T13" s="1245" t="s">
        <v>435</v>
      </c>
      <c r="U13" s="1244"/>
      <c r="V13" s="1244"/>
      <c r="W13" s="1244"/>
      <c r="X13" s="1244"/>
      <c r="Y13" s="1244"/>
      <c r="Z13" s="1244"/>
      <c r="AA13" s="1244"/>
      <c r="AB13" s="1244"/>
      <c r="AC13" s="1244"/>
      <c r="AD13" s="1244"/>
      <c r="AE13" s="1244"/>
      <c r="AF13" s="1244"/>
      <c r="AG13" s="1244"/>
      <c r="AH13" s="1244"/>
      <c r="AI13" s="1244"/>
      <c r="AJ13" s="1244"/>
      <c r="AK13" s="1244"/>
      <c r="AM13" s="426"/>
      <c r="AN13" s="426" t="str">
        <f t="shared" si="0"/>
        <v>Добавить территорию для дифференциации</v>
      </c>
      <c r="AO13" s="426"/>
      <c r="AP13" s="426"/>
    </row>
    <row r="14" spans="1:42" ht="14.25" hidden="1" customHeight="1">
      <c r="AB14" s="249"/>
      <c r="AI14" s="249"/>
    </row>
    <row r="15" spans="1:42" ht="14.25" hidden="1" customHeight="1">
      <c r="AC15" s="1278"/>
      <c r="AD15" s="1278"/>
      <c r="AE15" s="1279"/>
      <c r="AF15" s="2074"/>
      <c r="AG15" s="2073" t="s">
        <v>59</v>
      </c>
      <c r="AH15" s="2074"/>
      <c r="AI15" s="2073" t="s">
        <v>59</v>
      </c>
    </row>
    <row r="16" spans="1:42" ht="14.25" hidden="1" customHeight="1">
      <c r="AC16" s="1278"/>
      <c r="AD16" s="1278"/>
      <c r="AE16" s="250" t="str">
        <f>AF15&amp;"-"&amp;AH15</f>
        <v>-</v>
      </c>
      <c r="AF16" s="2073"/>
      <c r="AG16" s="2073"/>
      <c r="AH16" s="2073"/>
      <c r="AI16" s="2073"/>
    </row>
    <row r="17" spans="1:42" ht="14.25" hidden="1" customHeight="1">
      <c r="AI17" s="249"/>
    </row>
    <row r="18" spans="1:42" s="1284" customFormat="1" ht="22.5" hidden="1" customHeight="1">
      <c r="L18" s="1338"/>
      <c r="M18" s="1280"/>
      <c r="N18" s="1280"/>
      <c r="O18" s="1285" t="s">
        <v>477</v>
      </c>
      <c r="P18" s="1280"/>
      <c r="Q18" s="1289"/>
      <c r="R18" s="1289"/>
      <c r="S18" s="645"/>
      <c r="Y18" s="1285"/>
      <c r="AA18" s="1285"/>
      <c r="AF18" s="1285"/>
      <c r="AH18" s="1285"/>
      <c r="AL18" s="437"/>
      <c r="AM18" s="437"/>
      <c r="AN18" s="437"/>
      <c r="AO18" s="437"/>
      <c r="AP18" s="437"/>
    </row>
    <row r="19" spans="1:42" s="1284" customFormat="1" ht="14.25" hidden="1" customHeight="1">
      <c r="L19" s="1338"/>
      <c r="M19" s="1280"/>
      <c r="N19" s="1280"/>
      <c r="O19" s="1280"/>
      <c r="P19" s="1280"/>
      <c r="Q19" s="1289"/>
      <c r="R19" s="1289"/>
      <c r="S19" s="645"/>
      <c r="AL19" s="437"/>
      <c r="AM19" s="437"/>
      <c r="AN19" s="437"/>
      <c r="AO19" s="437"/>
      <c r="AP19" s="437"/>
    </row>
    <row r="20" spans="1:42" s="1284" customFormat="1" ht="12" hidden="1" customHeight="1">
      <c r="L20" s="1338"/>
      <c r="M20" s="1280"/>
      <c r="N20" s="1280"/>
      <c r="O20" s="1282" t="s">
        <v>478</v>
      </c>
      <c r="P20" s="1280"/>
      <c r="Q20" s="1358"/>
      <c r="R20" s="1358"/>
      <c r="S20" s="645"/>
      <c r="T20" s="1062" t="s">
        <v>479</v>
      </c>
      <c r="Z20" s="104" t="s">
        <v>480</v>
      </c>
      <c r="AB20" s="104" t="s">
        <v>481</v>
      </c>
      <c r="AC20" s="1062" t="s">
        <v>479</v>
      </c>
      <c r="AG20" s="104" t="s">
        <v>482</v>
      </c>
      <c r="AI20" s="104" t="s">
        <v>481</v>
      </c>
    </row>
    <row r="21" spans="1:42" ht="14.25" hidden="1" customHeight="1">
      <c r="O21" s="1282"/>
    </row>
    <row r="22" spans="1:42" ht="14.25" hidden="1" customHeight="1">
      <c r="O22" s="1282"/>
    </row>
    <row r="23" spans="1:42" ht="14.25" customHeight="1">
      <c r="Q23" s="300"/>
      <c r="R23" s="300"/>
      <c r="S23" s="1197"/>
      <c r="T23" s="286"/>
      <c r="U23" s="286"/>
      <c r="V23" s="435"/>
      <c r="W23" s="435"/>
      <c r="X23" s="435"/>
      <c r="Y23" s="435"/>
      <c r="Z23" s="435"/>
      <c r="AA23" s="435"/>
      <c r="AB23" s="435"/>
      <c r="AC23" s="435"/>
      <c r="AD23" s="435"/>
      <c r="AE23" s="435"/>
      <c r="AF23" s="435"/>
      <c r="AG23" s="435"/>
      <c r="AH23" s="435"/>
      <c r="AI23" s="435"/>
    </row>
    <row r="24" spans="1:42" ht="32.25" customHeight="1">
      <c r="Q24" s="300"/>
      <c r="R24" s="300"/>
      <c r="S24" s="2101" t="str">
        <f>IF(TEMPLATE_GROUP="P",PT_P_FORM_COLDVSNA_4_NAME_FORM,PT_R_FORM_COLDVSNA_16_NAME_FORM)</f>
        <v>Форма 15. Информация о предложении расчетной величины тарифов организации холодного водоснабжения об установлении тарифов в сфере холодного водоснабжения на очередной период регулирования &lt;1&gt;</v>
      </c>
      <c r="T24" s="2101"/>
      <c r="U24" s="2101"/>
      <c r="V24" s="2101"/>
      <c r="W24" s="2101"/>
      <c r="X24" s="2101"/>
      <c r="Y24" s="2101"/>
      <c r="Z24" s="2101"/>
      <c r="AA24" s="2101"/>
      <c r="AB24" s="2101"/>
      <c r="AC24" s="2101"/>
      <c r="AD24" s="2101"/>
      <c r="AE24" s="2101"/>
      <c r="AF24" s="2101"/>
      <c r="AG24" s="2101"/>
      <c r="AH24" s="2101"/>
      <c r="AI24" s="1154"/>
    </row>
    <row r="25" spans="1:42" ht="14.25" customHeight="1">
      <c r="Q25" s="300"/>
      <c r="R25" s="300"/>
      <c r="S25" s="1961" t="str">
        <f>IF(org=0,"Не определено",org)</f>
        <v>АО СЗ "КМАпроектжилстрой"</v>
      </c>
      <c r="T25" s="1961"/>
      <c r="U25" s="1961"/>
      <c r="V25" s="1961"/>
      <c r="W25" s="1961"/>
      <c r="X25" s="1961"/>
      <c r="Y25" s="1961"/>
      <c r="Z25" s="1961"/>
      <c r="AA25" s="1961"/>
      <c r="AB25" s="1961"/>
      <c r="AC25" s="1961"/>
      <c r="AD25" s="1961"/>
      <c r="AE25" s="1961"/>
      <c r="AF25" s="1961"/>
      <c r="AG25" s="1961"/>
      <c r="AH25" s="1961"/>
      <c r="AI25" s="1154"/>
    </row>
    <row r="26" spans="1:42" ht="14.25" hidden="1" customHeight="1">
      <c r="Q26" s="300"/>
      <c r="R26" s="300"/>
      <c r="S26" s="1197"/>
      <c r="T26" s="286"/>
      <c r="U26" s="286"/>
      <c r="V26" s="242"/>
      <c r="W26" s="242"/>
      <c r="X26" s="242"/>
      <c r="Y26" s="242"/>
      <c r="Z26" s="242"/>
      <c r="AA26" s="242"/>
      <c r="AB26" s="242"/>
      <c r="AC26" s="242"/>
      <c r="AD26" s="242"/>
      <c r="AE26" s="242"/>
      <c r="AF26" s="242"/>
      <c r="AG26" s="242"/>
      <c r="AH26" s="242"/>
      <c r="AI26" s="242"/>
      <c r="AJ26" s="435"/>
    </row>
    <row r="27" spans="1:42" s="1773" customFormat="1" ht="25.5" hidden="1" customHeight="1">
      <c r="A27" s="1286"/>
      <c r="B27" s="1286"/>
      <c r="C27" s="1286"/>
      <c r="D27" s="1286"/>
      <c r="E27" s="1286"/>
      <c r="F27" s="1286"/>
      <c r="G27" s="1286"/>
      <c r="H27" s="1286"/>
      <c r="I27" s="1286"/>
      <c r="J27" s="1286"/>
      <c r="K27" s="1286"/>
      <c r="L27" s="1287"/>
      <c r="M27" s="1286"/>
      <c r="N27" s="1286"/>
      <c r="O27" s="1286"/>
      <c r="S27" s="2067" t="s">
        <v>40</v>
      </c>
      <c r="T27" s="2067"/>
      <c r="U27" s="1290"/>
      <c r="V27" s="2069" t="str">
        <f>IF(TITLE_NAME_OR_PR_CHANGE="",IF(TITLE_NAME_OR_PR="","",TITLE_NAME_OR_PR),TITLE_NAME_OR_PR_CHANGE)</f>
        <v/>
      </c>
      <c r="W27" s="2069"/>
      <c r="X27" s="2069"/>
      <c r="Y27" s="2069"/>
      <c r="Z27" s="2069"/>
      <c r="AA27" s="2069"/>
      <c r="AB27" s="248"/>
      <c r="AC27" s="2069" t="str">
        <f>IF(TITLE_NAME_OR_PR_CHANGE="",IF(TITLE_NAME_OR_PR="","",TITLE_NAME_OR_PR),TITLE_NAME_OR_PR_CHANGE)</f>
        <v/>
      </c>
      <c r="AD27" s="2069"/>
      <c r="AE27" s="2069"/>
      <c r="AF27" s="2069"/>
      <c r="AG27" s="2069"/>
      <c r="AH27" s="2069"/>
      <c r="AI27" s="248"/>
      <c r="AJ27" s="248"/>
      <c r="AK27" s="196"/>
      <c r="AL27" s="292"/>
      <c r="AM27" s="292"/>
      <c r="AN27" s="292"/>
      <c r="AO27" s="292"/>
      <c r="AP27" s="292"/>
    </row>
    <row r="28" spans="1:42" s="1773" customFormat="1" ht="18.75" hidden="1" customHeight="1">
      <c r="A28" s="1286"/>
      <c r="B28" s="1286"/>
      <c r="C28" s="1286"/>
      <c r="D28" s="1286"/>
      <c r="E28" s="1286"/>
      <c r="F28" s="1286"/>
      <c r="G28" s="1286"/>
      <c r="H28" s="1286"/>
      <c r="I28" s="1286"/>
      <c r="J28" s="1286"/>
      <c r="K28" s="1286"/>
      <c r="L28" s="1287"/>
      <c r="M28" s="1286"/>
      <c r="N28" s="1286"/>
      <c r="O28" s="1286"/>
      <c r="S28" s="2067" t="s">
        <v>483</v>
      </c>
      <c r="T28" s="2067"/>
      <c r="U28" s="1290"/>
      <c r="V28" s="2068" t="str">
        <f>IF(TITLE_DATE_CHANGE_PERIOD="",IF(TITLE_DATE_PR="","",TITLE_DATE_PR),TITLE_DATE_CHANGE_PERIOD)</f>
        <v/>
      </c>
      <c r="W28" s="2068"/>
      <c r="X28" s="2068"/>
      <c r="Y28" s="2068"/>
      <c r="Z28" s="2068"/>
      <c r="AA28" s="2068"/>
      <c r="AB28" s="248"/>
      <c r="AC28" s="2068" t="str">
        <f>IF(TITLE_DATE_CHANGE_PERIOD="",IF(TITLE_DATE_PR="","",TITLE_DATE_PR),TITLE_DATE_CHANGE_PERIOD)</f>
        <v/>
      </c>
      <c r="AD28" s="2068"/>
      <c r="AE28" s="2068"/>
      <c r="AF28" s="2068"/>
      <c r="AG28" s="2068"/>
      <c r="AH28" s="2068"/>
      <c r="AI28" s="248"/>
      <c r="AJ28" s="248"/>
      <c r="AK28" s="196"/>
      <c r="AL28" s="292"/>
      <c r="AM28" s="292"/>
      <c r="AN28" s="292"/>
      <c r="AO28" s="292"/>
      <c r="AP28" s="292"/>
    </row>
    <row r="29" spans="1:42" s="1773" customFormat="1" ht="18.75" hidden="1" customHeight="1">
      <c r="A29" s="1286"/>
      <c r="B29" s="1286"/>
      <c r="C29" s="1286"/>
      <c r="D29" s="1286"/>
      <c r="E29" s="1286"/>
      <c r="F29" s="1286"/>
      <c r="G29" s="1286"/>
      <c r="H29" s="1286"/>
      <c r="I29" s="1286"/>
      <c r="J29" s="1286"/>
      <c r="K29" s="1286"/>
      <c r="L29" s="1287"/>
      <c r="M29" s="1286"/>
      <c r="N29" s="1286"/>
      <c r="O29" s="1286"/>
      <c r="S29" s="2067" t="s">
        <v>484</v>
      </c>
      <c r="T29" s="2067"/>
      <c r="U29" s="1290"/>
      <c r="V29" s="2069" t="str">
        <f>IF(TITLE_NUMBER_PR_CHANGE="",IF(TITLE_NUMBER_PR="","",TITLE_NUMBER_PR),TITLE_NUMBER_PR_CHANGE)</f>
        <v/>
      </c>
      <c r="W29" s="2069"/>
      <c r="X29" s="2069"/>
      <c r="Y29" s="2069"/>
      <c r="Z29" s="2069"/>
      <c r="AA29" s="2069"/>
      <c r="AB29" s="248"/>
      <c r="AC29" s="2069" t="str">
        <f>IF(TITLE_NUMBER_PR_CHANGE="",IF(TITLE_NUMBER_PR="","",TITLE_NUMBER_PR),TITLE_NUMBER_PR_CHANGE)</f>
        <v/>
      </c>
      <c r="AD29" s="2069"/>
      <c r="AE29" s="2069"/>
      <c r="AF29" s="2069"/>
      <c r="AG29" s="2069"/>
      <c r="AH29" s="2069"/>
      <c r="AI29" s="248"/>
      <c r="AJ29" s="248"/>
      <c r="AK29" s="196"/>
      <c r="AL29" s="292"/>
      <c r="AM29" s="292"/>
      <c r="AN29" s="292"/>
      <c r="AO29" s="292"/>
      <c r="AP29" s="292"/>
    </row>
    <row r="30" spans="1:42" s="1773" customFormat="1" ht="18.75" hidden="1" customHeight="1">
      <c r="A30" s="1286"/>
      <c r="B30" s="1286"/>
      <c r="C30" s="1286"/>
      <c r="D30" s="1286"/>
      <c r="E30" s="1286"/>
      <c r="F30" s="1286"/>
      <c r="G30" s="1286"/>
      <c r="H30" s="1286"/>
      <c r="I30" s="1286"/>
      <c r="J30" s="1286"/>
      <c r="K30" s="1286"/>
      <c r="L30" s="1287"/>
      <c r="M30" s="1286"/>
      <c r="N30" s="1286"/>
      <c r="O30" s="1286"/>
      <c r="S30" s="2067" t="s">
        <v>41</v>
      </c>
      <c r="T30" s="2067"/>
      <c r="U30" s="1290"/>
      <c r="V30" s="2069" t="str">
        <f>IF(TITLE_IST_PUB_CHANGE="",IF(TITLE_IST_PUB="","",TITLE_IST_PUB),TITLE_IST_PUB_CHANGE)</f>
        <v/>
      </c>
      <c r="W30" s="2069"/>
      <c r="X30" s="2069"/>
      <c r="Y30" s="2069"/>
      <c r="Z30" s="2069"/>
      <c r="AA30" s="2069"/>
      <c r="AB30" s="248"/>
      <c r="AC30" s="2069" t="str">
        <f>IF(TITLE_IST_PUB_CHANGE="",IF(TITLE_IST_PUB="","",TITLE_IST_PUB),TITLE_IST_PUB_CHANGE)</f>
        <v/>
      </c>
      <c r="AD30" s="2069"/>
      <c r="AE30" s="2069"/>
      <c r="AF30" s="2069"/>
      <c r="AG30" s="2069"/>
      <c r="AH30" s="2069"/>
      <c r="AI30" s="248"/>
      <c r="AJ30" s="248"/>
      <c r="AK30" s="196"/>
      <c r="AL30" s="292"/>
      <c r="AM30" s="292"/>
      <c r="AN30" s="292"/>
      <c r="AO30" s="292"/>
      <c r="AP30" s="292"/>
    </row>
    <row r="31" spans="1:42" ht="14.25" hidden="1" customHeight="1">
      <c r="Q31" s="300"/>
      <c r="R31" s="300"/>
      <c r="S31" s="1197"/>
      <c r="T31" s="286"/>
      <c r="U31" s="286"/>
      <c r="V31" s="242"/>
      <c r="W31" s="242"/>
      <c r="X31" s="242"/>
      <c r="Y31" s="242"/>
      <c r="Z31" s="242"/>
      <c r="AA31" s="242"/>
      <c r="AB31" s="242"/>
      <c r="AC31" s="242"/>
      <c r="AD31" s="242"/>
      <c r="AE31" s="242"/>
      <c r="AF31" s="242"/>
      <c r="AG31" s="242"/>
      <c r="AH31" s="242"/>
      <c r="AI31" s="242"/>
      <c r="AJ31" s="435"/>
    </row>
    <row r="32" spans="1:42" s="1773" customFormat="1" ht="18.75" hidden="1" customHeight="1">
      <c r="A32" s="1286"/>
      <c r="B32" s="1286"/>
      <c r="C32" s="1286"/>
      <c r="D32" s="1286"/>
      <c r="E32" s="1286"/>
      <c r="F32" s="1286"/>
      <c r="G32" s="1286"/>
      <c r="H32" s="1286"/>
      <c r="I32" s="1286"/>
      <c r="J32" s="1286"/>
      <c r="K32" s="1286"/>
      <c r="L32" s="1287"/>
      <c r="M32" s="1286"/>
      <c r="N32" s="1286"/>
      <c r="O32" s="1286"/>
      <c r="S32" s="2067" t="s">
        <v>485</v>
      </c>
      <c r="T32" s="2067"/>
      <c r="U32" s="1290"/>
      <c r="V32" s="2068" t="str">
        <f>IF(TITLE_DATE_CHANGE_PERIOD="",IF(TITLE_DATE_PR="","",TITLE_DATE_PR),TITLE_DATE_CHANGE_PERIOD)</f>
        <v/>
      </c>
      <c r="W32" s="2068"/>
      <c r="X32" s="2068"/>
      <c r="Y32" s="2068"/>
      <c r="Z32" s="2068"/>
      <c r="AA32" s="2068"/>
      <c r="AB32" s="248"/>
      <c r="AC32" s="2068" t="str">
        <f>IF(TITLE_DATE_CHANGE_PERIOD="",IF(TITLE_DATE_PR="","",TITLE_DATE_PR),TITLE_DATE_CHANGE_PERIOD)</f>
        <v/>
      </c>
      <c r="AD32" s="2068"/>
      <c r="AE32" s="2068"/>
      <c r="AF32" s="2068"/>
      <c r="AG32" s="2068"/>
      <c r="AH32" s="2068"/>
      <c r="AI32" s="248"/>
      <c r="AJ32" s="248"/>
      <c r="AK32" s="196"/>
      <c r="AL32" s="292"/>
      <c r="AM32" s="292"/>
      <c r="AN32" s="292"/>
      <c r="AO32" s="292"/>
      <c r="AP32" s="292"/>
    </row>
    <row r="33" spans="1:42" s="1773" customFormat="1" ht="18.75" hidden="1" customHeight="1">
      <c r="A33" s="1286"/>
      <c r="B33" s="1286"/>
      <c r="C33" s="1286"/>
      <c r="D33" s="1286"/>
      <c r="E33" s="1286"/>
      <c r="F33" s="1286"/>
      <c r="G33" s="1286"/>
      <c r="H33" s="1286"/>
      <c r="I33" s="1286"/>
      <c r="J33" s="1286"/>
      <c r="K33" s="1286"/>
      <c r="L33" s="1287"/>
      <c r="M33" s="1286"/>
      <c r="N33" s="1286"/>
      <c r="O33" s="1286"/>
      <c r="S33" s="2067" t="s">
        <v>486</v>
      </c>
      <c r="T33" s="2067"/>
      <c r="U33" s="1290"/>
      <c r="V33" s="2069" t="str">
        <f>IF(TITLE_NUMBER_PR_CHANGE="",IF(TITLE_NUMBER_PR="","",TITLE_NUMBER_PR),TITLE_NUMBER_PR_CHANGE)</f>
        <v/>
      </c>
      <c r="W33" s="2069"/>
      <c r="X33" s="2069"/>
      <c r="Y33" s="2069"/>
      <c r="Z33" s="2069"/>
      <c r="AA33" s="2069"/>
      <c r="AB33" s="248"/>
      <c r="AC33" s="2069" t="str">
        <f>IF(TITLE_NUMBER_PR_CHANGE="",IF(TITLE_NUMBER_PR="","",TITLE_NUMBER_PR),TITLE_NUMBER_PR_CHANGE)</f>
        <v/>
      </c>
      <c r="AD33" s="2069"/>
      <c r="AE33" s="2069"/>
      <c r="AF33" s="2069"/>
      <c r="AG33" s="2069"/>
      <c r="AH33" s="2069"/>
      <c r="AI33" s="248"/>
      <c r="AJ33" s="248"/>
      <c r="AK33" s="196"/>
      <c r="AL33" s="292"/>
      <c r="AM33" s="292"/>
      <c r="AN33" s="292"/>
      <c r="AO33" s="292"/>
      <c r="AP33" s="292"/>
    </row>
    <row r="34" spans="1:42" s="1773" customFormat="1" ht="0.75" customHeight="1">
      <c r="A34" s="1286"/>
      <c r="B34" s="1286"/>
      <c r="C34" s="1286"/>
      <c r="D34" s="1286"/>
      <c r="E34" s="1286"/>
      <c r="F34" s="1286"/>
      <c r="G34" s="1286"/>
      <c r="H34" s="1286"/>
      <c r="I34" s="1286"/>
      <c r="J34" s="1286"/>
      <c r="K34" s="1286"/>
      <c r="L34" s="1287"/>
      <c r="M34" s="1286"/>
      <c r="N34" s="1286"/>
      <c r="O34" s="1286"/>
      <c r="S34" s="244"/>
      <c r="T34" s="244"/>
      <c r="U34" s="1273"/>
      <c r="V34" s="248"/>
      <c r="W34" s="248"/>
      <c r="X34" s="248"/>
      <c r="Y34" s="248"/>
      <c r="Z34" s="248"/>
      <c r="AA34" s="248"/>
      <c r="AB34" s="194" t="s">
        <v>487</v>
      </c>
      <c r="AC34" s="248"/>
      <c r="AD34" s="248"/>
      <c r="AE34" s="248"/>
      <c r="AF34" s="248"/>
      <c r="AG34" s="248"/>
      <c r="AH34" s="248"/>
      <c r="AI34" s="194" t="s">
        <v>487</v>
      </c>
      <c r="AL34" s="292"/>
      <c r="AM34" s="292"/>
      <c r="AN34" s="292"/>
      <c r="AO34" s="292"/>
      <c r="AP34" s="292"/>
    </row>
    <row r="35" spans="1:42" ht="14.25" customHeight="1">
      <c r="Q35" s="300"/>
      <c r="R35" s="300"/>
      <c r="S35" s="1197"/>
      <c r="T35" s="286"/>
      <c r="U35" s="1155"/>
      <c r="V35" s="2087"/>
      <c r="W35" s="2087"/>
      <c r="X35" s="2087"/>
      <c r="Y35" s="2087"/>
      <c r="Z35" s="2087"/>
      <c r="AA35" s="2087"/>
      <c r="AB35" s="2087"/>
      <c r="AC35" s="2087"/>
      <c r="AD35" s="2087"/>
      <c r="AE35" s="2087"/>
      <c r="AF35" s="2087"/>
      <c r="AG35" s="2087"/>
      <c r="AH35" s="2087"/>
      <c r="AI35" s="2087"/>
    </row>
    <row r="36" spans="1:42" ht="14.25" customHeight="1">
      <c r="Q36" s="300"/>
      <c r="R36" s="300"/>
      <c r="S36" s="1874" t="s">
        <v>291</v>
      </c>
      <c r="T36" s="1874"/>
      <c r="U36" s="1874"/>
      <c r="V36" s="1874"/>
      <c r="W36" s="1874"/>
      <c r="X36" s="1874"/>
      <c r="Y36" s="1874"/>
      <c r="Z36" s="1874"/>
      <c r="AA36" s="1874"/>
      <c r="AB36" s="1874"/>
      <c r="AC36" s="1874"/>
      <c r="AD36" s="1874"/>
      <c r="AE36" s="1874"/>
      <c r="AF36" s="1874"/>
      <c r="AG36" s="1874"/>
      <c r="AH36" s="1874"/>
      <c r="AI36" s="1874"/>
      <c r="AJ36" s="1874"/>
      <c r="AK36" s="1874" t="s">
        <v>292</v>
      </c>
    </row>
    <row r="37" spans="1:42" ht="14.25" customHeight="1">
      <c r="Q37" s="300"/>
      <c r="R37" s="300"/>
      <c r="S37" s="2088" t="s">
        <v>88</v>
      </c>
      <c r="T37" s="1959" t="s">
        <v>488</v>
      </c>
      <c r="U37" s="215"/>
      <c r="V37" s="2089" t="s">
        <v>489</v>
      </c>
      <c r="W37" s="2090"/>
      <c r="X37" s="2090"/>
      <c r="Y37" s="2090"/>
      <c r="Z37" s="2090"/>
      <c r="AA37" s="2091"/>
      <c r="AB37" s="2092" t="s">
        <v>490</v>
      </c>
      <c r="AC37" s="2089" t="s">
        <v>489</v>
      </c>
      <c r="AD37" s="2090"/>
      <c r="AE37" s="2090"/>
      <c r="AF37" s="2090"/>
      <c r="AG37" s="2090"/>
      <c r="AH37" s="2091"/>
      <c r="AI37" s="2092" t="s">
        <v>491</v>
      </c>
      <c r="AJ37" s="2095" t="s">
        <v>492</v>
      </c>
      <c r="AK37" s="1874"/>
    </row>
    <row r="38" spans="1:42" ht="33.75" customHeight="1">
      <c r="Q38" s="300"/>
      <c r="R38" s="300"/>
      <c r="S38" s="2088"/>
      <c r="T38" s="1959"/>
      <c r="U38" s="939"/>
      <c r="V38" s="1270" t="s">
        <v>1684</v>
      </c>
      <c r="W38" s="1856" t="s">
        <v>495</v>
      </c>
      <c r="X38" s="1855"/>
      <c r="Y38" s="1856" t="s">
        <v>496</v>
      </c>
      <c r="Z38" s="1861"/>
      <c r="AA38" s="1855"/>
      <c r="AB38" s="2093"/>
      <c r="AC38" s="1270" t="s">
        <v>1684</v>
      </c>
      <c r="AD38" s="1856" t="s">
        <v>495</v>
      </c>
      <c r="AE38" s="1855"/>
      <c r="AF38" s="1856" t="s">
        <v>496</v>
      </c>
      <c r="AG38" s="1861"/>
      <c r="AH38" s="1855"/>
      <c r="AI38" s="2093"/>
      <c r="AJ38" s="2096"/>
      <c r="AK38" s="1874"/>
    </row>
    <row r="39" spans="1:42" ht="33.75" customHeight="1">
      <c r="A39" s="1288"/>
      <c r="B39" s="1288" t="s">
        <v>140</v>
      </c>
      <c r="C39" s="1288" t="s">
        <v>141</v>
      </c>
      <c r="D39" s="1288" t="s">
        <v>142</v>
      </c>
      <c r="E39" s="1282" t="s">
        <v>497</v>
      </c>
      <c r="F39" s="1282" t="s">
        <v>498</v>
      </c>
      <c r="G39" s="1282" t="s">
        <v>499</v>
      </c>
      <c r="H39" s="1282"/>
      <c r="I39" s="1282" t="s">
        <v>1685</v>
      </c>
      <c r="J39" s="1282" t="s">
        <v>502</v>
      </c>
      <c r="K39" s="1282" t="s">
        <v>1686</v>
      </c>
      <c r="L39" s="1282" t="s">
        <v>478</v>
      </c>
      <c r="Q39" s="300"/>
      <c r="R39" s="300"/>
      <c r="S39" s="2088"/>
      <c r="T39" s="1959"/>
      <c r="U39" s="216"/>
      <c r="V39" s="1270" t="s">
        <v>1687</v>
      </c>
      <c r="W39" s="1130" t="s">
        <v>1688</v>
      </c>
      <c r="X39" s="1130" t="s">
        <v>1689</v>
      </c>
      <c r="Y39" s="1275" t="s">
        <v>506</v>
      </c>
      <c r="Z39" s="1965" t="s">
        <v>507</v>
      </c>
      <c r="AA39" s="1979"/>
      <c r="AB39" s="2094"/>
      <c r="AC39" s="1270" t="s">
        <v>1687</v>
      </c>
      <c r="AD39" s="1130" t="s">
        <v>1688</v>
      </c>
      <c r="AE39" s="1130" t="s">
        <v>1689</v>
      </c>
      <c r="AF39" s="1275" t="s">
        <v>506</v>
      </c>
      <c r="AG39" s="1965" t="s">
        <v>507</v>
      </c>
      <c r="AH39" s="1979"/>
      <c r="AI39" s="2094"/>
      <c r="AJ39" s="2097"/>
      <c r="AK39" s="1874"/>
    </row>
    <row r="40" spans="1:42" s="1558" customFormat="1" ht="11.25" hidden="1" customHeight="1">
      <c r="A40" s="1288"/>
      <c r="B40" s="1288"/>
      <c r="C40" s="1288"/>
      <c r="D40" s="1288"/>
      <c r="E40" s="1288"/>
      <c r="F40" s="1288"/>
      <c r="G40" s="1288"/>
      <c r="H40" s="1288"/>
      <c r="I40" s="1288"/>
      <c r="J40" s="1288"/>
      <c r="K40" s="1288"/>
      <c r="L40" s="1282"/>
      <c r="M40" s="1280"/>
      <c r="N40" s="1280"/>
      <c r="O40" s="1280"/>
      <c r="P40" s="1157"/>
      <c r="Q40" s="1158"/>
      <c r="R40" s="1173">
        <v>1</v>
      </c>
      <c r="S40" s="1199" t="s">
        <v>109</v>
      </c>
      <c r="T40" s="1174" t="s">
        <v>110</v>
      </c>
      <c r="U40" s="1156" t="str">
        <f ca="1">OFFSET(U40,0,-1)</f>
        <v>2</v>
      </c>
      <c r="V40" s="1271">
        <f ca="1">OFFSET(V40,0,-1)+1</f>
        <v>3</v>
      </c>
      <c r="W40" s="1271">
        <f ca="1">OFFSET(W40,0,-1)+1</f>
        <v>4</v>
      </c>
      <c r="X40" s="1271">
        <f ca="1">OFFSET(X40,0,-1)+1</f>
        <v>5</v>
      </c>
      <c r="Y40" s="1271">
        <f ca="1">OFFSET(Y40,0,-1)+1</f>
        <v>6</v>
      </c>
      <c r="Z40" s="2086">
        <f ca="1">OFFSET(Z40,0,-1)+1</f>
        <v>7</v>
      </c>
      <c r="AA40" s="2086"/>
      <c r="AB40" s="1271">
        <f ca="1">OFFSET(AB40,0,-2)+1</f>
        <v>8</v>
      </c>
      <c r="AC40" s="1271">
        <f ca="1">OFFSET(AC40,0,-1)+1</f>
        <v>9</v>
      </c>
      <c r="AD40" s="1271">
        <f ca="1">OFFSET(AD40,0,-1)+1</f>
        <v>10</v>
      </c>
      <c r="AE40" s="1271">
        <f ca="1">OFFSET(AE40,0,-1)+1</f>
        <v>11</v>
      </c>
      <c r="AF40" s="1271">
        <f ca="1">OFFSET(AF40,0,-1)+1</f>
        <v>12</v>
      </c>
      <c r="AG40" s="2086">
        <f ca="1">OFFSET(AG40,0,-1)+1</f>
        <v>13</v>
      </c>
      <c r="AH40" s="2086"/>
      <c r="AI40" s="1271">
        <f ca="1">OFFSET(AI40,0,-2)+1</f>
        <v>14</v>
      </c>
      <c r="AJ40" s="1156">
        <f ca="1">OFFSET(AJ40,0,-1)</f>
        <v>14</v>
      </c>
      <c r="AK40" s="1271">
        <f ca="1">OFFSET(AK40,0,-1)+1</f>
        <v>15</v>
      </c>
      <c r="AL40" s="437"/>
      <c r="AM40" s="437"/>
      <c r="AN40" s="437"/>
      <c r="AO40" s="437"/>
      <c r="AP40" s="437"/>
    </row>
    <row r="41" spans="1:42" ht="23.25" customHeight="1">
      <c r="A41" s="1281" t="s">
        <v>217</v>
      </c>
      <c r="B41" s="1281"/>
      <c r="C41" s="1281"/>
      <c r="D41" s="1281"/>
      <c r="E41" s="2076">
        <v>1</v>
      </c>
      <c r="F41" s="1281"/>
      <c r="G41" s="1281"/>
      <c r="H41" s="1281"/>
      <c r="I41" s="1281"/>
      <c r="J41" s="1281"/>
      <c r="K41" s="1281"/>
      <c r="L41" s="1282"/>
      <c r="M41" s="1283"/>
      <c r="N41" s="1283"/>
      <c r="O41" s="1283"/>
      <c r="P41" s="282"/>
      <c r="Q41" s="281"/>
      <c r="R41" s="276"/>
      <c r="S41" s="1276">
        <f>INDEX(PT_DIFFERENTIATION_NUM_NTAR,MATCH(A41,PT_DIFFERENTIATION_NTAR_ID,0))</f>
        <v>0</v>
      </c>
      <c r="T41" s="212" t="s">
        <v>128</v>
      </c>
      <c r="U41" s="214"/>
      <c r="V41" s="2070"/>
      <c r="W41" s="2071"/>
      <c r="X41" s="2071"/>
      <c r="Y41" s="2071"/>
      <c r="Z41" s="2071"/>
      <c r="AA41" s="2071"/>
      <c r="AB41" s="2072"/>
      <c r="AC41" s="2070" t="str">
        <f>INDEX(PT_DIFFERENTIATION_NTAR,MATCH(A41,PT_DIFFERENTIATION_NTAR_ID,0))</f>
        <v/>
      </c>
      <c r="AD41" s="2071"/>
      <c r="AE41" s="2071"/>
      <c r="AF41" s="2071"/>
      <c r="AG41" s="2071"/>
      <c r="AH41" s="2071"/>
      <c r="AI41" s="2071"/>
      <c r="AJ41" s="2072"/>
      <c r="AK41" s="117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426"/>
      <c r="AN41" s="426" t="str">
        <f t="shared" ref="AN41:AN53" si="1">IF(T41="","",T41)</f>
        <v>Наименование тарифа</v>
      </c>
      <c r="AO41" s="426"/>
      <c r="AP41" s="426"/>
    </row>
    <row r="42" spans="1:42" ht="23.25" customHeight="1">
      <c r="A42" s="1281" t="s">
        <v>217</v>
      </c>
      <c r="B42" s="1281" t="s">
        <v>218</v>
      </c>
      <c r="C42" s="1281"/>
      <c r="D42" s="1281"/>
      <c r="E42" s="2077"/>
      <c r="F42" s="2076">
        <v>1</v>
      </c>
      <c r="G42" s="1281"/>
      <c r="H42" s="1281"/>
      <c r="I42" s="1281"/>
      <c r="J42" s="1281"/>
      <c r="K42" s="1281"/>
      <c r="L42" s="1282"/>
      <c r="M42" s="1283"/>
      <c r="N42" s="1283"/>
      <c r="O42" s="1283"/>
      <c r="P42" s="1274"/>
      <c r="Q42" s="273"/>
      <c r="R42" s="274"/>
      <c r="S42" s="1276" t="str">
        <f>INDEX(PT_DIFFERENTIATION_NUM_TER,MATCH(B42,PT_DIFFERENTIATION_TER_ID,0))</f>
        <v>.</v>
      </c>
      <c r="T42" s="224" t="s">
        <v>460</v>
      </c>
      <c r="U42" s="214"/>
      <c r="V42" s="2070"/>
      <c r="W42" s="2071"/>
      <c r="X42" s="2071"/>
      <c r="Y42" s="2071"/>
      <c r="Z42" s="2071"/>
      <c r="AA42" s="2071"/>
      <c r="AB42" s="2072"/>
      <c r="AC42" s="2070" t="str">
        <f>INDEX(PT_DIFFERENTIATION_TER,MATCH(B42,PT_DIFFERENTIATION_TER_ID,0))</f>
        <v/>
      </c>
      <c r="AD42" s="2071"/>
      <c r="AE42" s="2071"/>
      <c r="AF42" s="2071"/>
      <c r="AG42" s="2071"/>
      <c r="AH42" s="2071"/>
      <c r="AI42" s="2071"/>
      <c r="AJ42" s="2072"/>
      <c r="AK42" s="1179" t="s">
        <v>461</v>
      </c>
      <c r="AM42" s="426"/>
      <c r="AN42" s="426" t="str">
        <f t="shared" si="1"/>
        <v>Территория действия тарифа</v>
      </c>
      <c r="AO42" s="426"/>
      <c r="AP42" s="426"/>
    </row>
    <row r="43" spans="1:42" ht="23.25" customHeight="1">
      <c r="A43" s="1281" t="s">
        <v>217</v>
      </c>
      <c r="B43" s="1281" t="s">
        <v>218</v>
      </c>
      <c r="C43" s="1281" t="s">
        <v>219</v>
      </c>
      <c r="D43" s="1281"/>
      <c r="E43" s="2077"/>
      <c r="F43" s="2077"/>
      <c r="G43" s="2076">
        <v>1</v>
      </c>
      <c r="H43" s="1281"/>
      <c r="I43" s="1281"/>
      <c r="J43" s="1281"/>
      <c r="K43" s="1281"/>
      <c r="L43" s="1282"/>
      <c r="M43" s="1283"/>
      <c r="N43" s="1283"/>
      <c r="O43" s="1283"/>
      <c r="P43" s="275"/>
      <c r="Q43" s="273"/>
      <c r="R43" s="274"/>
      <c r="S43" s="1276" t="str">
        <f>INDEX(PT_DIFFERENTIATION_NUM_CS,MATCH(C43,PT_DIFFERENTIATION_CS_ID,0))</f>
        <v>..</v>
      </c>
      <c r="T43" s="225" t="s">
        <v>1676</v>
      </c>
      <c r="U43" s="214"/>
      <c r="V43" s="2070"/>
      <c r="W43" s="2071"/>
      <c r="X43" s="2071"/>
      <c r="Y43" s="2071"/>
      <c r="Z43" s="2071"/>
      <c r="AA43" s="2071"/>
      <c r="AB43" s="2072"/>
      <c r="AC43" s="2070" t="str">
        <f>INDEX(PT_DIFFERENTIATION_CS,MATCH(C43,PT_DIFFERENTIATION_CS_ID,0))</f>
        <v/>
      </c>
      <c r="AD43" s="2071"/>
      <c r="AE43" s="2071"/>
      <c r="AF43" s="2071"/>
      <c r="AG43" s="2071"/>
      <c r="AH43" s="2071"/>
      <c r="AI43" s="2071"/>
      <c r="AJ43" s="2072"/>
      <c r="AK43" s="1179" t="s">
        <v>1677</v>
      </c>
      <c r="AM43" s="426"/>
      <c r="AN43" s="426" t="str">
        <f t="shared" si="1"/>
        <v>Наименование централизованной системы холодного водоснабжения</v>
      </c>
      <c r="AO43" s="426"/>
      <c r="AP43" s="426"/>
    </row>
    <row r="44" spans="1:42" ht="23.25" customHeight="1">
      <c r="A44" s="1281" t="s">
        <v>217</v>
      </c>
      <c r="B44" s="1281" t="s">
        <v>218</v>
      </c>
      <c r="C44" s="1281" t="s">
        <v>219</v>
      </c>
      <c r="D44" s="1281" t="s">
        <v>1690</v>
      </c>
      <c r="E44" s="2077"/>
      <c r="F44" s="2077"/>
      <c r="G44" s="2077"/>
      <c r="H44" s="2077"/>
      <c r="I44" s="2078" t="str">
        <f>S43&amp;".1"</f>
        <v>...1</v>
      </c>
      <c r="J44" s="1281"/>
      <c r="K44" s="1281"/>
      <c r="L44" s="1282"/>
      <c r="P44" s="1995">
        <v>1</v>
      </c>
      <c r="Q44" s="1272"/>
      <c r="R44" s="277"/>
      <c r="S44" s="1276" t="str">
        <f>$I44</f>
        <v>...1</v>
      </c>
      <c r="T44" s="200" t="s">
        <v>1678</v>
      </c>
      <c r="U44" s="214"/>
      <c r="V44" s="2176"/>
      <c r="W44" s="2177"/>
      <c r="X44" s="2177"/>
      <c r="Y44" s="2177"/>
      <c r="Z44" s="2177"/>
      <c r="AA44" s="2177"/>
      <c r="AB44" s="2178"/>
      <c r="AC44" s="2179"/>
      <c r="AD44" s="2180"/>
      <c r="AE44" s="2180"/>
      <c r="AF44" s="2180"/>
      <c r="AG44" s="2180"/>
      <c r="AH44" s="2180"/>
      <c r="AI44" s="2180"/>
      <c r="AJ44" s="2181"/>
      <c r="AK44" s="1179" t="s">
        <v>1679</v>
      </c>
      <c r="AM44" s="426"/>
      <c r="AN44" s="426" t="str">
        <f t="shared" si="1"/>
        <v>Наименование признака дифференциации</v>
      </c>
      <c r="AO44" s="426"/>
      <c r="AP44" s="426"/>
    </row>
    <row r="45" spans="1:42" ht="23.25" customHeight="1">
      <c r="A45" s="1281" t="s">
        <v>217</v>
      </c>
      <c r="B45" s="1281" t="s">
        <v>218</v>
      </c>
      <c r="C45" s="1281" t="s">
        <v>219</v>
      </c>
      <c r="D45" s="1281" t="s">
        <v>1690</v>
      </c>
      <c r="E45" s="2077"/>
      <c r="F45" s="2077"/>
      <c r="G45" s="2077"/>
      <c r="H45" s="2077"/>
      <c r="I45" s="2079"/>
      <c r="J45" s="2078" t="str">
        <f>I44&amp;".1"</f>
        <v>...1.1</v>
      </c>
      <c r="K45" s="1281"/>
      <c r="L45" s="1282" t="s">
        <v>469</v>
      </c>
      <c r="P45" s="1995"/>
      <c r="Q45" s="1995">
        <v>1</v>
      </c>
      <c r="R45" s="278"/>
      <c r="S45" s="1276" t="str">
        <f>$J45</f>
        <v>...1.1</v>
      </c>
      <c r="T45" s="201" t="s">
        <v>470</v>
      </c>
      <c r="U45" s="214"/>
      <c r="V45" s="2064"/>
      <c r="W45" s="2065"/>
      <c r="X45" s="2065"/>
      <c r="Y45" s="2065"/>
      <c r="Z45" s="2065"/>
      <c r="AA45" s="2065"/>
      <c r="AB45" s="2066"/>
      <c r="AC45" s="2064"/>
      <c r="AD45" s="2065"/>
      <c r="AE45" s="2065"/>
      <c r="AF45" s="2065"/>
      <c r="AG45" s="2065"/>
      <c r="AH45" s="2065"/>
      <c r="AI45" s="2065"/>
      <c r="AJ45" s="2066"/>
      <c r="AK45" s="1228" t="s">
        <v>1680</v>
      </c>
      <c r="AM45" s="426"/>
      <c r="AN45" s="426" t="str">
        <f t="shared" si="1"/>
        <v>Группа потребителей</v>
      </c>
      <c r="AO45" s="426"/>
      <c r="AP45" s="426"/>
    </row>
    <row r="46" spans="1:42" ht="23.25" customHeight="1">
      <c r="A46" s="1281" t="s">
        <v>217</v>
      </c>
      <c r="B46" s="1281" t="s">
        <v>218</v>
      </c>
      <c r="C46" s="1281" t="s">
        <v>219</v>
      </c>
      <c r="D46" s="1281" t="s">
        <v>1690</v>
      </c>
      <c r="E46" s="2077"/>
      <c r="F46" s="2077"/>
      <c r="G46" s="2077"/>
      <c r="H46" s="2077"/>
      <c r="I46" s="2079"/>
      <c r="J46" s="2079"/>
      <c r="K46" s="2078" t="str">
        <f>J45&amp;".1"</f>
        <v>...1.1.1</v>
      </c>
      <c r="L46" s="1282"/>
      <c r="P46" s="1995"/>
      <c r="Q46" s="1995"/>
      <c r="R46" s="278">
        <v>1</v>
      </c>
      <c r="S46" s="1276" t="str">
        <f>$K46</f>
        <v>...1.1.1</v>
      </c>
      <c r="T46" s="1354"/>
      <c r="U46" s="214"/>
      <c r="V46" s="1278"/>
      <c r="W46" s="1278"/>
      <c r="X46" s="1279"/>
      <c r="Y46" s="2074"/>
      <c r="Z46" s="2073" t="s">
        <v>59</v>
      </c>
      <c r="AA46" s="2074"/>
      <c r="AB46" s="2073" t="s">
        <v>59</v>
      </c>
      <c r="AC46" s="664"/>
      <c r="AD46" s="664"/>
      <c r="AE46" s="1178"/>
      <c r="AF46" s="2080"/>
      <c r="AG46" s="1885" t="s">
        <v>59</v>
      </c>
      <c r="AH46" s="2082"/>
      <c r="AI46" s="1885" t="s">
        <v>57</v>
      </c>
      <c r="AJ46" s="1355"/>
      <c r="AK46" s="2182"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437" t="e">
        <f ca="1">STRCHECKDATE(V47:AJ47)</f>
        <v>#NAME?</v>
      </c>
      <c r="AM46" s="426"/>
      <c r="AN46" s="426" t="str">
        <f t="shared" si="1"/>
        <v/>
      </c>
      <c r="AO46" s="426"/>
      <c r="AP46" s="426"/>
    </row>
    <row r="47" spans="1:42" ht="0" hidden="1" customHeight="1">
      <c r="A47" s="1281" t="s">
        <v>217</v>
      </c>
      <c r="B47" s="1281" t="s">
        <v>218</v>
      </c>
      <c r="C47" s="1281" t="s">
        <v>219</v>
      </c>
      <c r="D47" s="1281" t="s">
        <v>1690</v>
      </c>
      <c r="E47" s="2077"/>
      <c r="F47" s="2077"/>
      <c r="G47" s="2077"/>
      <c r="H47" s="2077"/>
      <c r="I47" s="2079"/>
      <c r="J47" s="2079"/>
      <c r="K47" s="2078"/>
      <c r="L47" s="1282"/>
      <c r="P47" s="1995"/>
      <c r="Q47" s="1995"/>
      <c r="R47" s="278"/>
      <c r="S47" s="1277"/>
      <c r="T47" s="214"/>
      <c r="U47" s="214"/>
      <c r="V47" s="1278"/>
      <c r="W47" s="1278"/>
      <c r="X47" s="250" t="str">
        <f>Y46&amp;"-"&amp;AA46</f>
        <v>-</v>
      </c>
      <c r="Y47" s="2073"/>
      <c r="Z47" s="2073"/>
      <c r="AA47" s="2073"/>
      <c r="AB47" s="2073"/>
      <c r="AC47" s="246"/>
      <c r="AD47" s="246"/>
      <c r="AE47" s="250" t="str">
        <f>AF46&amp;"-"&amp;AH46</f>
        <v>-</v>
      </c>
      <c r="AF47" s="2081"/>
      <c r="AG47" s="1885"/>
      <c r="AH47" s="2083"/>
      <c r="AI47" s="1885"/>
      <c r="AJ47" s="1356"/>
      <c r="AK47" s="2182"/>
      <c r="AM47" s="426"/>
      <c r="AN47" s="426" t="str">
        <f t="shared" si="1"/>
        <v/>
      </c>
      <c r="AO47" s="426"/>
      <c r="AP47" s="426"/>
    </row>
    <row r="48" spans="1:42" ht="21" customHeight="1">
      <c r="A48" s="1281" t="s">
        <v>217</v>
      </c>
      <c r="B48" s="1281" t="s">
        <v>218</v>
      </c>
      <c r="C48" s="1281" t="s">
        <v>219</v>
      </c>
      <c r="D48" s="1281" t="s">
        <v>1690</v>
      </c>
      <c r="E48" s="2077"/>
      <c r="F48" s="2077"/>
      <c r="G48" s="2077"/>
      <c r="H48" s="2077"/>
      <c r="I48" s="2079"/>
      <c r="J48" s="2078"/>
      <c r="K48" s="1281"/>
      <c r="L48" s="1282"/>
      <c r="P48" s="1995"/>
      <c r="Q48" s="1995"/>
      <c r="R48" s="277"/>
      <c r="S48" s="1200"/>
      <c r="T48" s="202" t="s">
        <v>1681</v>
      </c>
      <c r="U48" s="291"/>
      <c r="V48" s="291"/>
      <c r="W48" s="291"/>
      <c r="X48" s="291"/>
      <c r="Y48" s="291"/>
      <c r="Z48" s="291"/>
      <c r="AA48" s="291"/>
      <c r="AB48" s="291"/>
      <c r="AC48" s="291"/>
      <c r="AD48" s="291"/>
      <c r="AE48" s="291"/>
      <c r="AF48" s="291"/>
      <c r="AG48" s="291"/>
      <c r="AH48" s="291"/>
      <c r="AI48" s="291"/>
      <c r="AJ48" s="291"/>
      <c r="AK48" s="1179" t="s">
        <v>1682</v>
      </c>
      <c r="AM48" s="426"/>
      <c r="AN48" s="426" t="str">
        <f t="shared" si="1"/>
        <v>Добавить значение признака дифференциации</v>
      </c>
      <c r="AO48" s="426"/>
      <c r="AP48" s="426"/>
    </row>
    <row r="49" spans="1:42" ht="21" customHeight="1">
      <c r="A49" s="1281" t="s">
        <v>217</v>
      </c>
      <c r="B49" s="1281" t="s">
        <v>218</v>
      </c>
      <c r="C49" s="1281" t="s">
        <v>219</v>
      </c>
      <c r="D49" s="1281" t="s">
        <v>1690</v>
      </c>
      <c r="E49" s="2077"/>
      <c r="F49" s="2077"/>
      <c r="G49" s="2077"/>
      <c r="H49" s="2077"/>
      <c r="I49" s="2078"/>
      <c r="J49" s="1281"/>
      <c r="K49" s="1281"/>
      <c r="L49" s="1282"/>
      <c r="P49" s="1995"/>
      <c r="Q49" s="1272"/>
      <c r="R49" s="277"/>
      <c r="S49" s="1200"/>
      <c r="T49" s="288" t="s">
        <v>475</v>
      </c>
      <c r="U49" s="291"/>
      <c r="V49" s="291"/>
      <c r="W49" s="291"/>
      <c r="X49" s="291"/>
      <c r="Y49" s="291"/>
      <c r="Z49" s="291"/>
      <c r="AA49" s="291"/>
      <c r="AB49" s="290"/>
      <c r="AC49" s="291"/>
      <c r="AD49" s="291"/>
      <c r="AE49" s="291"/>
      <c r="AF49" s="291"/>
      <c r="AG49" s="291"/>
      <c r="AH49" s="291"/>
      <c r="AI49" s="290"/>
      <c r="AJ49" s="291"/>
      <c r="AK49" s="1357"/>
      <c r="AM49" s="426"/>
      <c r="AN49" s="426" t="str">
        <f t="shared" si="1"/>
        <v>Добавить группу потребителей</v>
      </c>
      <c r="AO49" s="426"/>
      <c r="AP49" s="426"/>
    </row>
    <row r="50" spans="1:42" ht="21" customHeight="1">
      <c r="A50" s="1281" t="s">
        <v>217</v>
      </c>
      <c r="B50" s="1281" t="s">
        <v>218</v>
      </c>
      <c r="C50" s="1281" t="s">
        <v>219</v>
      </c>
      <c r="D50" s="1281" t="s">
        <v>1690</v>
      </c>
      <c r="E50" s="2077"/>
      <c r="F50" s="2077"/>
      <c r="G50" s="2077"/>
      <c r="H50" s="2076"/>
      <c r="I50" s="1281"/>
      <c r="J50" s="1281"/>
      <c r="K50" s="1281"/>
      <c r="L50" s="1282"/>
      <c r="M50" s="1283"/>
      <c r="N50" s="1283"/>
      <c r="O50" s="462"/>
      <c r="P50" s="281"/>
      <c r="Q50" s="299"/>
      <c r="R50" s="276"/>
      <c r="S50" s="1200"/>
      <c r="T50" s="296" t="s">
        <v>1683</v>
      </c>
      <c r="U50" s="291"/>
      <c r="V50" s="291"/>
      <c r="W50" s="291"/>
      <c r="X50" s="291"/>
      <c r="Y50" s="291"/>
      <c r="Z50" s="291"/>
      <c r="AA50" s="291"/>
      <c r="AB50" s="290"/>
      <c r="AC50" s="291"/>
      <c r="AD50" s="291"/>
      <c r="AE50" s="291"/>
      <c r="AF50" s="291"/>
      <c r="AG50" s="291"/>
      <c r="AH50" s="291"/>
      <c r="AI50" s="290"/>
      <c r="AJ50" s="291"/>
      <c r="AK50" s="217"/>
      <c r="AM50" s="426"/>
      <c r="AN50" s="426" t="str">
        <f t="shared" si="1"/>
        <v>Добавить наименование признака дифференциации</v>
      </c>
      <c r="AO50" s="426"/>
      <c r="AP50" s="426"/>
    </row>
    <row r="51" spans="1:42" s="1559" customFormat="1" ht="0" hidden="1" customHeight="1">
      <c r="A51" s="1262" t="s">
        <v>217</v>
      </c>
      <c r="B51" s="1262" t="s">
        <v>218</v>
      </c>
      <c r="C51" s="1234"/>
      <c r="D51" s="1234"/>
      <c r="E51" s="2077"/>
      <c r="F51" s="2076"/>
      <c r="G51" s="1234"/>
      <c r="H51" s="1234"/>
      <c r="I51" s="1234"/>
      <c r="J51" s="1234"/>
      <c r="K51" s="1234"/>
      <c r="L51" s="1343"/>
      <c r="M51" s="1241"/>
      <c r="N51" s="1241"/>
      <c r="P51" s="1236"/>
      <c r="Q51" s="1237"/>
      <c r="R51" s="1236"/>
      <c r="S51" s="1242"/>
      <c r="T51" s="1245" t="s">
        <v>434</v>
      </c>
      <c r="U51" s="1244"/>
      <c r="V51" s="1244"/>
      <c r="W51" s="1244"/>
      <c r="X51" s="1244"/>
      <c r="Y51" s="1244"/>
      <c r="Z51" s="1244"/>
      <c r="AA51" s="1244"/>
      <c r="AB51" s="1244"/>
      <c r="AC51" s="1244"/>
      <c r="AD51" s="1244"/>
      <c r="AE51" s="1244"/>
      <c r="AF51" s="1244"/>
      <c r="AG51" s="1244"/>
      <c r="AH51" s="1244"/>
      <c r="AI51" s="1244"/>
      <c r="AJ51" s="1244"/>
      <c r="AK51" s="1244"/>
      <c r="AM51" s="702"/>
      <c r="AN51" s="702" t="str">
        <f t="shared" si="1"/>
        <v>Добавить централизованную систему для дифференциации</v>
      </c>
      <c r="AO51" s="702"/>
      <c r="AP51" s="702"/>
    </row>
    <row r="52" spans="1:42" s="1559" customFormat="1" ht="0" hidden="1" customHeight="1">
      <c r="A52" s="1262" t="s">
        <v>217</v>
      </c>
      <c r="B52" s="1262"/>
      <c r="C52" s="1262"/>
      <c r="D52" s="1262"/>
      <c r="E52" s="2076"/>
      <c r="F52" s="1262"/>
      <c r="G52" s="1262"/>
      <c r="H52" s="1262"/>
      <c r="I52" s="1262"/>
      <c r="J52" s="1262"/>
      <c r="K52" s="1262"/>
      <c r="L52" s="1265"/>
      <c r="M52" s="1241"/>
      <c r="N52" s="1241"/>
      <c r="O52" s="444"/>
      <c r="P52" s="308"/>
      <c r="Q52" s="1263"/>
      <c r="R52" s="308"/>
      <c r="S52" s="1242"/>
      <c r="T52" s="1245" t="s">
        <v>435</v>
      </c>
      <c r="U52" s="1244"/>
      <c r="V52" s="1244"/>
      <c r="W52" s="1244"/>
      <c r="X52" s="1244"/>
      <c r="Y52" s="1244"/>
      <c r="Z52" s="1244"/>
      <c r="AA52" s="1244"/>
      <c r="AB52" s="1244"/>
      <c r="AC52" s="1244"/>
      <c r="AD52" s="1244"/>
      <c r="AE52" s="1244"/>
      <c r="AF52" s="1244"/>
      <c r="AG52" s="1244"/>
      <c r="AH52" s="1244"/>
      <c r="AI52" s="1244"/>
      <c r="AJ52" s="1244"/>
      <c r="AK52" s="1244"/>
      <c r="AM52" s="426"/>
      <c r="AN52" s="426" t="str">
        <f t="shared" si="1"/>
        <v>Добавить территорию для дифференциации</v>
      </c>
      <c r="AO52" s="426"/>
      <c r="AP52" s="426"/>
    </row>
    <row r="53" spans="1:42" s="1559" customFormat="1" ht="0" hidden="1" customHeight="1">
      <c r="A53" s="1234"/>
      <c r="B53" s="1234"/>
      <c r="C53" s="1234"/>
      <c r="D53" s="1234"/>
      <c r="E53" s="1262"/>
      <c r="F53" s="1234"/>
      <c r="G53" s="1234"/>
      <c r="H53" s="1234"/>
      <c r="I53" s="1234"/>
      <c r="J53" s="1234"/>
      <c r="K53" s="1234"/>
      <c r="L53" s="1343"/>
      <c r="M53" s="1241"/>
      <c r="N53" s="1241"/>
      <c r="P53" s="1236"/>
      <c r="Q53" s="1237"/>
      <c r="R53" s="1236"/>
      <c r="S53" s="1242"/>
      <c r="T53" s="1245" t="s">
        <v>436</v>
      </c>
      <c r="U53" s="1244"/>
      <c r="V53" s="1244"/>
      <c r="W53" s="1244"/>
      <c r="X53" s="1244"/>
      <c r="Y53" s="1244"/>
      <c r="Z53" s="1244"/>
      <c r="AA53" s="1244"/>
      <c r="AB53" s="1244"/>
      <c r="AC53" s="1244"/>
      <c r="AD53" s="1244"/>
      <c r="AE53" s="1244"/>
      <c r="AF53" s="1244"/>
      <c r="AG53" s="1244"/>
      <c r="AH53" s="1244"/>
      <c r="AI53" s="1244"/>
      <c r="AJ53" s="1244"/>
      <c r="AK53" s="1244"/>
      <c r="AM53" s="702"/>
      <c r="AN53" s="702" t="str">
        <f t="shared" si="1"/>
        <v>Добавить наименование тарифа</v>
      </c>
      <c r="AO53" s="702"/>
      <c r="AP53" s="702"/>
    </row>
    <row r="54" spans="1:42" ht="11.25" hidden="1" customHeight="1">
      <c r="M54" s="1062"/>
      <c r="N54" s="1062"/>
      <c r="O54" s="462"/>
      <c r="P54" s="1057"/>
      <c r="Q54" s="1057"/>
      <c r="R54" s="1057"/>
      <c r="S54" s="1057"/>
      <c r="AL54" s="1057"/>
      <c r="AM54" s="1057"/>
      <c r="AN54" s="1057"/>
      <c r="AO54" s="1057"/>
      <c r="AP54" s="1057"/>
    </row>
    <row r="55" spans="1:42" ht="14.25" hidden="1" customHeight="1">
      <c r="O55" s="462"/>
      <c r="S55" s="1166" t="s">
        <v>508</v>
      </c>
      <c r="T55" s="2075" t="s">
        <v>1691</v>
      </c>
      <c r="U55" s="2075"/>
      <c r="V55" s="2075"/>
      <c r="W55" s="2075"/>
      <c r="X55" s="2075"/>
      <c r="Y55" s="2075"/>
      <c r="Z55" s="2075"/>
      <c r="AA55" s="2075"/>
      <c r="AB55" s="2075"/>
      <c r="AC55" s="2075"/>
      <c r="AD55" s="2075"/>
      <c r="AE55" s="2075"/>
      <c r="AF55" s="2075"/>
      <c r="AG55" s="2075"/>
      <c r="AH55" s="2075"/>
      <c r="AI55" s="2075"/>
      <c r="AJ55" s="2075"/>
      <c r="AK55" s="2075"/>
    </row>
    <row r="56" spans="1:42" ht="14.25" hidden="1" customHeight="1">
      <c r="O56" s="462"/>
    </row>
    <row r="57" spans="1:42" ht="14.25" hidden="1" customHeight="1">
      <c r="O57" s="462"/>
      <c r="S57" s="1166" t="s">
        <v>508</v>
      </c>
      <c r="T57" s="2075" t="s">
        <v>1692</v>
      </c>
      <c r="U57" s="2075"/>
      <c r="V57" s="2075"/>
      <c r="W57" s="2075"/>
      <c r="X57" s="2075"/>
      <c r="Y57" s="2075"/>
      <c r="Z57" s="2075"/>
      <c r="AA57" s="2075"/>
      <c r="AB57" s="2075"/>
      <c r="AC57" s="2075"/>
      <c r="AD57" s="2075"/>
      <c r="AE57" s="2075"/>
      <c r="AF57" s="2075"/>
      <c r="AG57" s="2075"/>
      <c r="AH57" s="2075"/>
      <c r="AI57" s="2075"/>
      <c r="AJ57" s="2075"/>
      <c r="AK57" s="2075"/>
    </row>
  </sheetData>
  <sheetProtection formatColumns="0" formatRows="0" insertRows="0" deleteColumns="0" deleteRows="0" sort="0" autoFilter="0"/>
  <mergeCells count="101">
    <mergeCell ref="T55:AK55"/>
    <mergeCell ref="T57:AK57"/>
    <mergeCell ref="Q45:Q48"/>
    <mergeCell ref="V45:AB45"/>
    <mergeCell ref="AC45:AJ45"/>
    <mergeCell ref="Z46:Z47"/>
    <mergeCell ref="AA46:AA47"/>
    <mergeCell ref="AB46:AB47"/>
    <mergeCell ref="AF46:AF47"/>
    <mergeCell ref="AG46:AG47"/>
    <mergeCell ref="AK46:AK47"/>
    <mergeCell ref="AH46:AH47"/>
    <mergeCell ref="AI46:AI47"/>
    <mergeCell ref="E41:E52"/>
    <mergeCell ref="V41:AB41"/>
    <mergeCell ref="AC41:AJ41"/>
    <mergeCell ref="F42:F51"/>
    <mergeCell ref="V42:AB42"/>
    <mergeCell ref="AC42:AJ42"/>
    <mergeCell ref="G43:G50"/>
    <mergeCell ref="Y38:AA38"/>
    <mergeCell ref="AD38:AE38"/>
    <mergeCell ref="AF38:AH38"/>
    <mergeCell ref="Z39:AA39"/>
    <mergeCell ref="H44:H50"/>
    <mergeCell ref="I44:I49"/>
    <mergeCell ref="P44:P49"/>
    <mergeCell ref="V44:AB44"/>
    <mergeCell ref="AC44:AJ44"/>
    <mergeCell ref="J45:J48"/>
    <mergeCell ref="AG39:AH39"/>
    <mergeCell ref="Z40:AA40"/>
    <mergeCell ref="AG40:AH40"/>
    <mergeCell ref="K46:K47"/>
    <mergeCell ref="Y46:Y47"/>
    <mergeCell ref="V43:AB43"/>
    <mergeCell ref="AC43:AJ43"/>
    <mergeCell ref="AC29:AH29"/>
    <mergeCell ref="S30:T30"/>
    <mergeCell ref="V30:AA30"/>
    <mergeCell ref="AC30:AH30"/>
    <mergeCell ref="V35:AB35"/>
    <mergeCell ref="AC35:AI35"/>
    <mergeCell ref="S36:AJ36"/>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S29:T29"/>
    <mergeCell ref="V29:AA29"/>
    <mergeCell ref="AJ37:AJ39"/>
    <mergeCell ref="W38:X38"/>
    <mergeCell ref="AK7:AK8"/>
    <mergeCell ref="S24:AH24"/>
    <mergeCell ref="S25:AH25"/>
    <mergeCell ref="S27:T27"/>
    <mergeCell ref="V27:AA27"/>
    <mergeCell ref="AC27:AH27"/>
    <mergeCell ref="S28:T28"/>
    <mergeCell ref="V28:AA28"/>
    <mergeCell ref="AC28:AH28"/>
    <mergeCell ref="AG7:AG8"/>
    <mergeCell ref="AH7:AH8"/>
    <mergeCell ref="AF15:AF16"/>
    <mergeCell ref="AG15:AG16"/>
    <mergeCell ref="AH15:AH16"/>
    <mergeCell ref="AI15:AI16"/>
    <mergeCell ref="AF7:AF8"/>
    <mergeCell ref="E2:E13"/>
    <mergeCell ref="V2:AB2"/>
    <mergeCell ref="AC2:AJ2"/>
    <mergeCell ref="F3:F12"/>
    <mergeCell ref="V3:AB3"/>
    <mergeCell ref="AC3:AJ3"/>
    <mergeCell ref="G4:G11"/>
    <mergeCell ref="V4:AB4"/>
    <mergeCell ref="AC4:AJ4"/>
    <mergeCell ref="H5:H11"/>
    <mergeCell ref="AI7:AI8"/>
    <mergeCell ref="K7:K8"/>
    <mergeCell ref="Y7:Y8"/>
    <mergeCell ref="Z7:Z8"/>
    <mergeCell ref="AA7:AA8"/>
    <mergeCell ref="AB7:AB8"/>
    <mergeCell ref="I5:I10"/>
    <mergeCell ref="P5:P10"/>
    <mergeCell ref="V5:AB5"/>
    <mergeCell ref="AC5:AJ5"/>
    <mergeCell ref="J6:J9"/>
    <mergeCell ref="Q6:Q9"/>
    <mergeCell ref="V6:AB6"/>
    <mergeCell ref="AC6:AJ6"/>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J5 AC5:AI5 AC44:AI44 AJ44">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AP57"/>
  <sheetViews>
    <sheetView showGridLines="0" topLeftCell="P23" zoomScale="90" workbookViewId="0"/>
  </sheetViews>
  <sheetFormatPr defaultColWidth="10.5703125" defaultRowHeight="14.25" customHeight="1"/>
  <cols>
    <col min="1" max="1" width="10.5703125" style="1284" hidden="1"/>
    <col min="2" max="2" width="11" style="1284" hidden="1" customWidth="1"/>
    <col min="3" max="3" width="10.5703125" style="1284" hidden="1"/>
    <col min="4" max="4" width="11.85546875" style="1284" hidden="1" customWidth="1"/>
    <col min="5" max="5" width="10" style="1284" hidden="1" customWidth="1"/>
    <col min="6" max="6" width="8.7109375" style="1284" hidden="1" customWidth="1"/>
    <col min="7" max="7" width="7.5703125" style="1284" hidden="1" customWidth="1"/>
    <col min="8" max="8" width="11.42578125" style="1284" hidden="1" customWidth="1"/>
    <col min="9" max="9" width="14.140625" style="1284" hidden="1" customWidth="1"/>
    <col min="10" max="10" width="9.85546875" style="1284" hidden="1" customWidth="1"/>
    <col min="11" max="11" width="14.7109375" style="1284" hidden="1" customWidth="1"/>
    <col min="12" max="12" width="19.140625" style="1799" hidden="1" customWidth="1"/>
    <col min="13" max="14" width="12.28515625" style="1696" hidden="1" customWidth="1"/>
    <col min="15" max="15" width="23.42578125" style="1696" hidden="1" customWidth="1"/>
    <col min="16" max="16" width="3.7109375" style="1803" customWidth="1"/>
    <col min="17" max="18" width="3.7109375" style="265" customWidth="1"/>
    <col min="19" max="19" width="12.7109375" style="1806" customWidth="1"/>
    <col min="20" max="20" width="35.7109375" style="1552" customWidth="1"/>
    <col min="21" max="21" width="0.140625" style="1552" customWidth="1"/>
    <col min="22" max="24" width="24.7109375" style="1552" hidden="1" customWidth="1"/>
    <col min="25" max="25" width="11.7109375" style="1552" hidden="1" customWidth="1"/>
    <col min="26" max="26" width="3.7109375" style="1552" hidden="1" customWidth="1"/>
    <col min="27" max="27" width="11.7109375" style="1552" hidden="1" customWidth="1"/>
    <col min="28" max="28" width="8.5703125" style="1552" hidden="1" customWidth="1"/>
    <col min="29" max="31" width="24.7109375" style="1552" customWidth="1"/>
    <col min="32" max="32" width="11.7109375" style="1552" customWidth="1"/>
    <col min="33" max="33" width="3.7109375" style="1552" customWidth="1"/>
    <col min="34" max="34" width="11.7109375" style="1552" customWidth="1"/>
    <col min="35" max="35" width="8.5703125" style="1552" hidden="1" customWidth="1"/>
    <col min="36" max="36" width="4.7109375" style="1552" customWidth="1"/>
    <col min="37" max="37" width="115.7109375" style="1552" customWidth="1"/>
    <col min="38" max="39" width="10.5703125" style="1559"/>
    <col min="40" max="40" width="11.140625" style="1559" customWidth="1"/>
    <col min="41" max="42" width="10.5703125" style="1559"/>
  </cols>
  <sheetData>
    <row r="1" spans="1:42" ht="14.25" hidden="1" customHeight="1">
      <c r="X1" s="249"/>
      <c r="Y1" s="249"/>
      <c r="AE1" s="249"/>
      <c r="AF1" s="249"/>
    </row>
    <row r="2" spans="1:42" ht="23.25" hidden="1" customHeight="1">
      <c r="A2" s="1281"/>
      <c r="B2" s="1281"/>
      <c r="C2" s="1281"/>
      <c r="D2" s="1281"/>
      <c r="E2" s="2076">
        <v>1</v>
      </c>
      <c r="F2" s="1281"/>
      <c r="G2" s="1281"/>
      <c r="H2" s="1281"/>
      <c r="I2" s="1281"/>
      <c r="J2" s="1281"/>
      <c r="K2" s="1281"/>
      <c r="L2" s="1282"/>
      <c r="M2" s="1283"/>
      <c r="N2" s="1283"/>
      <c r="O2" s="1283"/>
      <c r="P2" s="282"/>
      <c r="Q2" s="281"/>
      <c r="R2" s="276"/>
      <c r="S2" s="1372" t="e">
        <f>INDEX(PT_DIFFERENTIATION_NUM_NTAR,MATCH(A2,PT_DIFFERENTIATION_NTAR_ID,0))</f>
        <v>#N/A</v>
      </c>
      <c r="T2" s="212" t="s">
        <v>128</v>
      </c>
      <c r="U2" s="214"/>
      <c r="V2" s="2070"/>
      <c r="W2" s="2071"/>
      <c r="X2" s="2071"/>
      <c r="Y2" s="2071"/>
      <c r="Z2" s="2071"/>
      <c r="AA2" s="2071"/>
      <c r="AB2" s="2072"/>
      <c r="AC2" s="2070" t="e">
        <f>INDEX(PT_DIFFERENTIATION_NTAR,MATCH(A2,PT_DIFFERENTIATION_NTAR_ID,0))</f>
        <v>#N/A</v>
      </c>
      <c r="AD2" s="2071"/>
      <c r="AE2" s="2071"/>
      <c r="AF2" s="2071"/>
      <c r="AG2" s="2071"/>
      <c r="AH2" s="2071"/>
      <c r="AI2" s="2071"/>
      <c r="AJ2" s="2072"/>
      <c r="AK2" s="117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426"/>
      <c r="AN2" s="426" t="str">
        <f t="shared" ref="AN2:AN13" si="0">IF(T2="","",T2)</f>
        <v>Наименование тарифа</v>
      </c>
      <c r="AO2" s="426"/>
      <c r="AP2" s="426"/>
    </row>
    <row r="3" spans="1:42" ht="23.25" hidden="1" customHeight="1">
      <c r="A3" s="1281"/>
      <c r="B3" s="1281"/>
      <c r="C3" s="1281"/>
      <c r="D3" s="1281"/>
      <c r="E3" s="2077"/>
      <c r="F3" s="2076">
        <v>1</v>
      </c>
      <c r="G3" s="1281"/>
      <c r="H3" s="1281"/>
      <c r="I3" s="1281"/>
      <c r="J3" s="1281"/>
      <c r="K3" s="1281"/>
      <c r="L3" s="1282"/>
      <c r="M3" s="1283"/>
      <c r="N3" s="1283"/>
      <c r="O3" s="1283"/>
      <c r="P3" s="1368"/>
      <c r="Q3" s="273"/>
      <c r="R3" s="274"/>
      <c r="S3" s="1372" t="e">
        <f>INDEX(PT_DIFFERENTIATION_NUM_TER,MATCH(B3,PT_DIFFERENTIATION_TER_ID,0))</f>
        <v>#N/A</v>
      </c>
      <c r="T3" s="224" t="s">
        <v>460</v>
      </c>
      <c r="U3" s="214"/>
      <c r="V3" s="2070"/>
      <c r="W3" s="2071"/>
      <c r="X3" s="2071"/>
      <c r="Y3" s="2071"/>
      <c r="Z3" s="2071"/>
      <c r="AA3" s="2071"/>
      <c r="AB3" s="2072"/>
      <c r="AC3" s="2070" t="e">
        <f>INDEX(PT_DIFFERENTIATION_TER,MATCH(B3,PT_DIFFERENTIATION_TER_ID,0))</f>
        <v>#N/A</v>
      </c>
      <c r="AD3" s="2071"/>
      <c r="AE3" s="2071"/>
      <c r="AF3" s="2071"/>
      <c r="AG3" s="2071"/>
      <c r="AH3" s="2071"/>
      <c r="AI3" s="2071"/>
      <c r="AJ3" s="2072"/>
      <c r="AK3" s="1179" t="s">
        <v>461</v>
      </c>
      <c r="AM3" s="426"/>
      <c r="AN3" s="426" t="str">
        <f t="shared" si="0"/>
        <v>Территория действия тарифа</v>
      </c>
      <c r="AO3" s="426"/>
      <c r="AP3" s="426"/>
    </row>
    <row r="4" spans="1:42" ht="23.25" hidden="1" customHeight="1">
      <c r="A4" s="1281"/>
      <c r="B4" s="1281"/>
      <c r="C4" s="1281"/>
      <c r="D4" s="1281"/>
      <c r="E4" s="2077"/>
      <c r="F4" s="2077"/>
      <c r="G4" s="2076">
        <v>1</v>
      </c>
      <c r="H4" s="1281"/>
      <c r="I4" s="1281"/>
      <c r="J4" s="1281"/>
      <c r="K4" s="1281"/>
      <c r="L4" s="1282"/>
      <c r="M4" s="1283"/>
      <c r="N4" s="1283"/>
      <c r="O4" s="1283"/>
      <c r="P4" s="275"/>
      <c r="Q4" s="273"/>
      <c r="R4" s="274"/>
      <c r="S4" s="1372" t="e">
        <f>INDEX(PT_DIFFERENTIATION_NUM_CS,MATCH(C4,PT_DIFFERENTIATION_CS_ID,0))</f>
        <v>#N/A</v>
      </c>
      <c r="T4" s="225" t="s">
        <v>1676</v>
      </c>
      <c r="U4" s="214"/>
      <c r="V4" s="2070"/>
      <c r="W4" s="2071"/>
      <c r="X4" s="2071"/>
      <c r="Y4" s="2071"/>
      <c r="Z4" s="2071"/>
      <c r="AA4" s="2071"/>
      <c r="AB4" s="2072"/>
      <c r="AC4" s="2070" t="e">
        <f>INDEX(PT_DIFFERENTIATION_CS,MATCH(C4,PT_DIFFERENTIATION_CS_ID,0))</f>
        <v>#N/A</v>
      </c>
      <c r="AD4" s="2071"/>
      <c r="AE4" s="2071"/>
      <c r="AF4" s="2071"/>
      <c r="AG4" s="2071"/>
      <c r="AH4" s="2071"/>
      <c r="AI4" s="2071"/>
      <c r="AJ4" s="2072"/>
      <c r="AK4" s="1179" t="s">
        <v>1677</v>
      </c>
      <c r="AM4" s="426"/>
      <c r="AN4" s="426" t="str">
        <f t="shared" si="0"/>
        <v>Наименование централизованной системы холодного водоснабжения</v>
      </c>
      <c r="AO4" s="426"/>
      <c r="AP4" s="426"/>
    </row>
    <row r="5" spans="1:42" ht="23.25" hidden="1" customHeight="1">
      <c r="A5" s="1281"/>
      <c r="B5" s="1281"/>
      <c r="C5" s="1281"/>
      <c r="D5" s="1281"/>
      <c r="E5" s="2077"/>
      <c r="F5" s="2077"/>
      <c r="G5" s="2077"/>
      <c r="H5" s="2077"/>
      <c r="I5" s="2078" t="e">
        <f>S4&amp;".1"</f>
        <v>#N/A</v>
      </c>
      <c r="J5" s="1281"/>
      <c r="K5" s="1281"/>
      <c r="L5" s="1282"/>
      <c r="P5" s="1995">
        <v>1</v>
      </c>
      <c r="Q5" s="1365"/>
      <c r="R5" s="277"/>
      <c r="S5" s="1372" t="e">
        <f>$I5</f>
        <v>#N/A</v>
      </c>
      <c r="T5" s="200" t="s">
        <v>1678</v>
      </c>
      <c r="U5" s="214"/>
      <c r="V5" s="2176"/>
      <c r="W5" s="2177"/>
      <c r="X5" s="2177"/>
      <c r="Y5" s="2177"/>
      <c r="Z5" s="2177"/>
      <c r="AA5" s="2177"/>
      <c r="AB5" s="2178"/>
      <c r="AC5" s="2179"/>
      <c r="AD5" s="2180"/>
      <c r="AE5" s="2180"/>
      <c r="AF5" s="2180"/>
      <c r="AG5" s="2180"/>
      <c r="AH5" s="2180"/>
      <c r="AI5" s="2180"/>
      <c r="AJ5" s="2181"/>
      <c r="AK5" s="1179" t="s">
        <v>1679</v>
      </c>
      <c r="AM5" s="426"/>
      <c r="AN5" s="426" t="str">
        <f t="shared" si="0"/>
        <v>Наименование признака дифференциации</v>
      </c>
      <c r="AO5" s="426"/>
      <c r="AP5" s="426"/>
    </row>
    <row r="6" spans="1:42" ht="23.25" hidden="1" customHeight="1">
      <c r="A6" s="1281"/>
      <c r="B6" s="1281"/>
      <c r="C6" s="1281"/>
      <c r="D6" s="1281"/>
      <c r="E6" s="2077"/>
      <c r="F6" s="2077"/>
      <c r="G6" s="2077"/>
      <c r="H6" s="2077"/>
      <c r="I6" s="2079"/>
      <c r="J6" s="2078" t="e">
        <f>I5&amp;".1"</f>
        <v>#N/A</v>
      </c>
      <c r="K6" s="1281"/>
      <c r="L6" s="1282" t="s">
        <v>469</v>
      </c>
      <c r="P6" s="1995"/>
      <c r="Q6" s="1995">
        <v>1</v>
      </c>
      <c r="R6" s="278"/>
      <c r="S6" s="1372" t="e">
        <f>$J6</f>
        <v>#N/A</v>
      </c>
      <c r="T6" s="201" t="s">
        <v>470</v>
      </c>
      <c r="U6" s="214"/>
      <c r="V6" s="2064"/>
      <c r="W6" s="2065"/>
      <c r="X6" s="2065"/>
      <c r="Y6" s="2065"/>
      <c r="Z6" s="2065"/>
      <c r="AA6" s="2065"/>
      <c r="AB6" s="2066"/>
      <c r="AC6" s="2064"/>
      <c r="AD6" s="2065"/>
      <c r="AE6" s="2065"/>
      <c r="AF6" s="2065"/>
      <c r="AG6" s="2065"/>
      <c r="AH6" s="2065"/>
      <c r="AI6" s="2065"/>
      <c r="AJ6" s="2066"/>
      <c r="AK6" s="1228" t="s">
        <v>1680</v>
      </c>
      <c r="AM6" s="426"/>
      <c r="AN6" s="426" t="str">
        <f t="shared" si="0"/>
        <v>Группа потребителей</v>
      </c>
      <c r="AO6" s="426"/>
      <c r="AP6" s="426"/>
    </row>
    <row r="7" spans="1:42" ht="23.25" hidden="1" customHeight="1">
      <c r="A7" s="1281"/>
      <c r="B7" s="1281"/>
      <c r="C7" s="1281"/>
      <c r="D7" s="1281"/>
      <c r="E7" s="2077"/>
      <c r="F7" s="2077"/>
      <c r="G7" s="2077"/>
      <c r="H7" s="2077"/>
      <c r="I7" s="2079"/>
      <c r="J7" s="2079"/>
      <c r="K7" s="2078" t="e">
        <f>J6&amp;".1"</f>
        <v>#N/A</v>
      </c>
      <c r="L7" s="1282"/>
      <c r="P7" s="1995"/>
      <c r="Q7" s="1995"/>
      <c r="R7" s="278">
        <v>1</v>
      </c>
      <c r="S7" s="1372" t="e">
        <f>$K7</f>
        <v>#N/A</v>
      </c>
      <c r="T7" s="1354"/>
      <c r="U7" s="214"/>
      <c r="V7" s="664"/>
      <c r="W7" s="664"/>
      <c r="X7" s="1178"/>
      <c r="Y7" s="2080"/>
      <c r="Z7" s="1885" t="s">
        <v>59</v>
      </c>
      <c r="AA7" s="2080"/>
      <c r="AB7" s="1885" t="s">
        <v>59</v>
      </c>
      <c r="AC7" s="664"/>
      <c r="AD7" s="664"/>
      <c r="AE7" s="1178"/>
      <c r="AF7" s="2080"/>
      <c r="AG7" s="1885" t="s">
        <v>59</v>
      </c>
      <c r="AH7" s="2082"/>
      <c r="AI7" s="1885" t="s">
        <v>59</v>
      </c>
      <c r="AJ7" s="1355"/>
      <c r="AK7" s="2182"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437" t="e">
        <f ca="1">STRCHECKDATE(V8:AJ8)</f>
        <v>#NAME?</v>
      </c>
      <c r="AM7" s="426"/>
      <c r="AN7" s="426" t="str">
        <f t="shared" si="0"/>
        <v/>
      </c>
      <c r="AO7" s="426"/>
      <c r="AP7" s="426"/>
    </row>
    <row r="8" spans="1:42" ht="14.25" hidden="1" customHeight="1">
      <c r="A8" s="1281"/>
      <c r="B8" s="1281"/>
      <c r="C8" s="1281"/>
      <c r="D8" s="1281"/>
      <c r="E8" s="2077"/>
      <c r="F8" s="2077"/>
      <c r="G8" s="2077"/>
      <c r="H8" s="2077"/>
      <c r="I8" s="2079"/>
      <c r="J8" s="2079"/>
      <c r="K8" s="2078"/>
      <c r="L8" s="1282"/>
      <c r="P8" s="1995"/>
      <c r="Q8" s="1995"/>
      <c r="R8" s="278"/>
      <c r="S8" s="1371"/>
      <c r="T8" s="214"/>
      <c r="U8" s="214"/>
      <c r="V8" s="246"/>
      <c r="W8" s="246"/>
      <c r="X8" s="250" t="str">
        <f>Y7&amp;"-"&amp;AA7</f>
        <v>-</v>
      </c>
      <c r="Y8" s="2081"/>
      <c r="Z8" s="1885"/>
      <c r="AA8" s="2081"/>
      <c r="AB8" s="1885"/>
      <c r="AC8" s="246"/>
      <c r="AD8" s="246"/>
      <c r="AE8" s="250" t="str">
        <f>AF7&amp;"-"&amp;AH7</f>
        <v>-</v>
      </c>
      <c r="AF8" s="2081"/>
      <c r="AG8" s="1885"/>
      <c r="AH8" s="2083"/>
      <c r="AI8" s="1885"/>
      <c r="AJ8" s="1356"/>
      <c r="AK8" s="2182"/>
      <c r="AM8" s="426"/>
      <c r="AN8" s="426" t="str">
        <f t="shared" si="0"/>
        <v/>
      </c>
      <c r="AO8" s="426"/>
      <c r="AP8" s="426"/>
    </row>
    <row r="9" spans="1:42" ht="21" hidden="1" customHeight="1">
      <c r="A9" s="1281"/>
      <c r="B9" s="1281"/>
      <c r="C9" s="1281"/>
      <c r="D9" s="1281"/>
      <c r="E9" s="2077"/>
      <c r="F9" s="2077"/>
      <c r="G9" s="2077"/>
      <c r="H9" s="2077"/>
      <c r="I9" s="2079"/>
      <c r="J9" s="2078"/>
      <c r="K9" s="1281"/>
      <c r="L9" s="1282"/>
      <c r="P9" s="1995"/>
      <c r="Q9" s="1995"/>
      <c r="R9" s="277"/>
      <c r="S9" s="1200"/>
      <c r="T9" s="202" t="s">
        <v>1681</v>
      </c>
      <c r="U9" s="291"/>
      <c r="V9" s="291"/>
      <c r="W9" s="291"/>
      <c r="X9" s="291"/>
      <c r="Y9" s="291"/>
      <c r="Z9" s="291"/>
      <c r="AA9" s="291"/>
      <c r="AB9" s="291"/>
      <c r="AC9" s="291"/>
      <c r="AD9" s="291"/>
      <c r="AE9" s="291"/>
      <c r="AF9" s="291"/>
      <c r="AG9" s="291"/>
      <c r="AH9" s="291"/>
      <c r="AI9" s="291"/>
      <c r="AJ9" s="291"/>
      <c r="AK9" s="1179" t="s">
        <v>1682</v>
      </c>
      <c r="AM9" s="426"/>
      <c r="AN9" s="426" t="str">
        <f t="shared" si="0"/>
        <v>Добавить значение признака дифференциации</v>
      </c>
      <c r="AO9" s="426"/>
      <c r="AP9" s="426"/>
    </row>
    <row r="10" spans="1:42" ht="21" hidden="1" customHeight="1">
      <c r="A10" s="1281"/>
      <c r="B10" s="1281"/>
      <c r="C10" s="1281"/>
      <c r="D10" s="1281"/>
      <c r="E10" s="2077"/>
      <c r="F10" s="2077"/>
      <c r="G10" s="2077"/>
      <c r="H10" s="2077"/>
      <c r="I10" s="2078"/>
      <c r="J10" s="1281"/>
      <c r="K10" s="1281"/>
      <c r="L10" s="1282"/>
      <c r="P10" s="1995"/>
      <c r="Q10" s="1365"/>
      <c r="R10" s="277"/>
      <c r="S10" s="1200"/>
      <c r="T10" s="288" t="s">
        <v>475</v>
      </c>
      <c r="U10" s="291"/>
      <c r="V10" s="291"/>
      <c r="W10" s="291"/>
      <c r="X10" s="291"/>
      <c r="Y10" s="291"/>
      <c r="Z10" s="291"/>
      <c r="AA10" s="291"/>
      <c r="AB10" s="290"/>
      <c r="AC10" s="291"/>
      <c r="AD10" s="291"/>
      <c r="AE10" s="291"/>
      <c r="AF10" s="291"/>
      <c r="AG10" s="291"/>
      <c r="AH10" s="291"/>
      <c r="AI10" s="290"/>
      <c r="AJ10" s="291"/>
      <c r="AK10" s="1357"/>
      <c r="AM10" s="426"/>
      <c r="AN10" s="426" t="str">
        <f t="shared" si="0"/>
        <v>Добавить группу потребителей</v>
      </c>
      <c r="AO10" s="426"/>
      <c r="AP10" s="426"/>
    </row>
    <row r="11" spans="1:42" ht="21" hidden="1" customHeight="1">
      <c r="A11" s="1281"/>
      <c r="B11" s="1281"/>
      <c r="C11" s="1281"/>
      <c r="D11" s="1281"/>
      <c r="E11" s="2077"/>
      <c r="F11" s="2077"/>
      <c r="G11" s="2077"/>
      <c r="H11" s="2076"/>
      <c r="I11" s="1281"/>
      <c r="J11" s="1281"/>
      <c r="K11" s="1281"/>
      <c r="L11" s="1282"/>
      <c r="M11" s="1283"/>
      <c r="N11" s="1283"/>
      <c r="O11" s="462"/>
      <c r="P11" s="281"/>
      <c r="Q11" s="299"/>
      <c r="R11" s="276"/>
      <c r="S11" s="1200"/>
      <c r="T11" s="296" t="s">
        <v>1683</v>
      </c>
      <c r="U11" s="291"/>
      <c r="V11" s="291"/>
      <c r="W11" s="291"/>
      <c r="X11" s="291"/>
      <c r="Y11" s="291"/>
      <c r="Z11" s="291"/>
      <c r="AA11" s="291"/>
      <c r="AB11" s="290"/>
      <c r="AC11" s="291"/>
      <c r="AD11" s="291"/>
      <c r="AE11" s="291"/>
      <c r="AF11" s="291"/>
      <c r="AG11" s="291"/>
      <c r="AH11" s="291"/>
      <c r="AI11" s="290"/>
      <c r="AJ11" s="291"/>
      <c r="AK11" s="217"/>
      <c r="AM11" s="426"/>
      <c r="AN11" s="426" t="str">
        <f t="shared" si="0"/>
        <v>Добавить наименование признака дифференциации</v>
      </c>
      <c r="AO11" s="426"/>
      <c r="AP11" s="426"/>
    </row>
    <row r="12" spans="1:42" s="1559" customFormat="1" ht="14.25" hidden="1" customHeight="1">
      <c r="A12" s="1262"/>
      <c r="B12" s="1262"/>
      <c r="C12" s="1234"/>
      <c r="D12" s="1234"/>
      <c r="E12" s="2077"/>
      <c r="F12" s="2076"/>
      <c r="G12" s="1234"/>
      <c r="H12" s="1234"/>
      <c r="I12" s="1234"/>
      <c r="J12" s="1234"/>
      <c r="K12" s="1234"/>
      <c r="L12" s="1373"/>
      <c r="M12" s="1241"/>
      <c r="N12" s="1241"/>
      <c r="P12" s="1236"/>
      <c r="Q12" s="1237"/>
      <c r="R12" s="1236"/>
      <c r="S12" s="1242"/>
      <c r="T12" s="1245" t="s">
        <v>434</v>
      </c>
      <c r="U12" s="1244"/>
      <c r="V12" s="1244"/>
      <c r="W12" s="1244"/>
      <c r="X12" s="1244"/>
      <c r="Y12" s="1244"/>
      <c r="Z12" s="1244"/>
      <c r="AA12" s="1244"/>
      <c r="AB12" s="1244"/>
      <c r="AC12" s="1244"/>
      <c r="AD12" s="1244"/>
      <c r="AE12" s="1244"/>
      <c r="AF12" s="1244"/>
      <c r="AG12" s="1244"/>
      <c r="AH12" s="1244"/>
      <c r="AI12" s="1244"/>
      <c r="AJ12" s="1244"/>
      <c r="AK12" s="1244"/>
      <c r="AM12" s="702"/>
      <c r="AN12" s="702" t="str">
        <f t="shared" si="0"/>
        <v>Добавить централизованную систему для дифференциации</v>
      </c>
      <c r="AO12" s="702"/>
      <c r="AP12" s="702"/>
    </row>
    <row r="13" spans="1:42" s="1559" customFormat="1" ht="14.25" hidden="1" customHeight="1">
      <c r="A13" s="1262"/>
      <c r="B13" s="1262"/>
      <c r="C13" s="1262"/>
      <c r="D13" s="1262"/>
      <c r="E13" s="2076"/>
      <c r="F13" s="1262"/>
      <c r="G13" s="1262"/>
      <c r="H13" s="1262"/>
      <c r="I13" s="1262"/>
      <c r="J13" s="1262"/>
      <c r="K13" s="1262"/>
      <c r="L13" s="1265"/>
      <c r="M13" s="1241"/>
      <c r="N13" s="1241"/>
      <c r="O13" s="444"/>
      <c r="P13" s="308"/>
      <c r="Q13" s="1263"/>
      <c r="R13" s="308"/>
      <c r="S13" s="1242"/>
      <c r="T13" s="1245" t="s">
        <v>435</v>
      </c>
      <c r="U13" s="1244"/>
      <c r="V13" s="1244"/>
      <c r="W13" s="1244"/>
      <c r="X13" s="1244"/>
      <c r="Y13" s="1244"/>
      <c r="Z13" s="1244"/>
      <c r="AA13" s="1244"/>
      <c r="AB13" s="1244"/>
      <c r="AC13" s="1244"/>
      <c r="AD13" s="1244"/>
      <c r="AE13" s="1244"/>
      <c r="AF13" s="1244"/>
      <c r="AG13" s="1244"/>
      <c r="AH13" s="1244"/>
      <c r="AI13" s="1244"/>
      <c r="AJ13" s="1244"/>
      <c r="AK13" s="1244"/>
      <c r="AM13" s="426"/>
      <c r="AN13" s="426" t="str">
        <f t="shared" si="0"/>
        <v>Добавить территорию для дифференциации</v>
      </c>
      <c r="AO13" s="426"/>
      <c r="AP13" s="426"/>
    </row>
    <row r="14" spans="1:42" ht="14.25" hidden="1" customHeight="1">
      <c r="AB14" s="249"/>
      <c r="AI14" s="249"/>
    </row>
    <row r="15" spans="1:42" ht="14.25" hidden="1" customHeight="1">
      <c r="AC15" s="1278"/>
      <c r="AD15" s="1278"/>
      <c r="AE15" s="1279"/>
      <c r="AF15" s="2074"/>
      <c r="AG15" s="2073" t="s">
        <v>59</v>
      </c>
      <c r="AH15" s="2074"/>
      <c r="AI15" s="2073" t="s">
        <v>59</v>
      </c>
    </row>
    <row r="16" spans="1:42" ht="14.25" hidden="1" customHeight="1">
      <c r="AC16" s="1278"/>
      <c r="AD16" s="1278"/>
      <c r="AE16" s="250" t="str">
        <f>AF15&amp;"-"&amp;AH15</f>
        <v>-</v>
      </c>
      <c r="AF16" s="2073"/>
      <c r="AG16" s="2073"/>
      <c r="AH16" s="2073"/>
      <c r="AI16" s="2073"/>
    </row>
    <row r="17" spans="1:42" ht="14.25" hidden="1" customHeight="1">
      <c r="AI17" s="249"/>
    </row>
    <row r="18" spans="1:42" s="1284" customFormat="1" ht="22.5" hidden="1" customHeight="1">
      <c r="L18" s="1362"/>
      <c r="M18" s="1280"/>
      <c r="N18" s="1280"/>
      <c r="O18" s="1285" t="s">
        <v>477</v>
      </c>
      <c r="P18" s="1280"/>
      <c r="Q18" s="1289"/>
      <c r="R18" s="1289"/>
      <c r="S18" s="645"/>
      <c r="Y18" s="1285"/>
      <c r="AA18" s="1285"/>
      <c r="AF18" s="1285"/>
      <c r="AH18" s="1285"/>
      <c r="AL18" s="437"/>
      <c r="AM18" s="437"/>
      <c r="AN18" s="437"/>
      <c r="AO18" s="437"/>
      <c r="AP18" s="437"/>
    </row>
    <row r="19" spans="1:42" s="1284" customFormat="1" ht="14.25" hidden="1" customHeight="1">
      <c r="L19" s="1362"/>
      <c r="M19" s="1280"/>
      <c r="N19" s="1280"/>
      <c r="O19" s="1280"/>
      <c r="P19" s="1280"/>
      <c r="Q19" s="1289"/>
      <c r="R19" s="1289"/>
      <c r="S19" s="645"/>
      <c r="AL19" s="437"/>
      <c r="AM19" s="437"/>
      <c r="AN19" s="437"/>
      <c r="AO19" s="437"/>
      <c r="AP19" s="437"/>
    </row>
    <row r="20" spans="1:42" s="1284" customFormat="1" ht="12" hidden="1" customHeight="1">
      <c r="L20" s="1362"/>
      <c r="M20" s="1280"/>
      <c r="N20" s="1280"/>
      <c r="O20" s="1282" t="s">
        <v>478</v>
      </c>
      <c r="P20" s="1280"/>
      <c r="Q20" s="1358"/>
      <c r="R20" s="1358"/>
      <c r="S20" s="645"/>
      <c r="T20" s="1062" t="s">
        <v>479</v>
      </c>
      <c r="Z20" s="104" t="s">
        <v>480</v>
      </c>
      <c r="AB20" s="104" t="s">
        <v>481</v>
      </c>
      <c r="AC20" s="1062" t="s">
        <v>479</v>
      </c>
      <c r="AG20" s="104" t="s">
        <v>482</v>
      </c>
      <c r="AI20" s="104" t="s">
        <v>481</v>
      </c>
    </row>
    <row r="21" spans="1:42" ht="14.25" hidden="1" customHeight="1">
      <c r="O21" s="1282"/>
    </row>
    <row r="22" spans="1:42" ht="14.25" hidden="1" customHeight="1">
      <c r="O22" s="1282"/>
    </row>
    <row r="23" spans="1:42" ht="14.25" customHeight="1">
      <c r="Q23" s="300"/>
      <c r="R23" s="300"/>
      <c r="S23" s="1197"/>
      <c r="T23" s="286"/>
      <c r="U23" s="286"/>
      <c r="V23" s="435"/>
      <c r="W23" s="435"/>
      <c r="X23" s="435"/>
      <c r="Y23" s="435"/>
      <c r="Z23" s="435"/>
      <c r="AA23" s="435"/>
      <c r="AB23" s="435"/>
      <c r="AC23" s="435"/>
      <c r="AD23" s="435"/>
      <c r="AE23" s="435"/>
      <c r="AF23" s="435"/>
      <c r="AG23" s="435"/>
      <c r="AH23" s="435"/>
      <c r="AI23" s="435"/>
    </row>
    <row r="24" spans="1:42" ht="32.25" customHeight="1">
      <c r="Q24" s="300"/>
      <c r="R24" s="300"/>
      <c r="S24" s="2101" t="str">
        <f>IF(TEMPLATE_GROUP="P",PT_P_FORM_COLDVSNA_4_NAME_FORM,PT_R_FORM_COLDVSNA_16_NAME_FORM)</f>
        <v>Форма 15. Информация о предложении расчетной величины тарифов организации холодного водоснабжения об установлении тарифов в сфере холодного водоснабжения на очередной период регулирования &lt;1&gt;</v>
      </c>
      <c r="T24" s="2101"/>
      <c r="U24" s="2101"/>
      <c r="V24" s="2101"/>
      <c r="W24" s="2101"/>
      <c r="X24" s="2101"/>
      <c r="Y24" s="2101"/>
      <c r="Z24" s="2101"/>
      <c r="AA24" s="2101"/>
      <c r="AB24" s="2101"/>
      <c r="AC24" s="2101"/>
      <c r="AD24" s="2101"/>
      <c r="AE24" s="2101"/>
      <c r="AF24" s="2101"/>
      <c r="AG24" s="2101"/>
      <c r="AH24" s="2101"/>
      <c r="AI24" s="1154"/>
    </row>
    <row r="25" spans="1:42" ht="14.25" customHeight="1">
      <c r="Q25" s="300"/>
      <c r="R25" s="300"/>
      <c r="S25" s="1961" t="str">
        <f>IF(org=0,"Не определено",org)</f>
        <v>АО СЗ "КМАпроектжилстрой"</v>
      </c>
      <c r="T25" s="1961"/>
      <c r="U25" s="1961"/>
      <c r="V25" s="1961"/>
      <c r="W25" s="1961"/>
      <c r="X25" s="1961"/>
      <c r="Y25" s="1961"/>
      <c r="Z25" s="1961"/>
      <c r="AA25" s="1961"/>
      <c r="AB25" s="1961"/>
      <c r="AC25" s="1961"/>
      <c r="AD25" s="1961"/>
      <c r="AE25" s="1961"/>
      <c r="AF25" s="1961"/>
      <c r="AG25" s="1961"/>
      <c r="AH25" s="1961"/>
      <c r="AI25" s="1154"/>
    </row>
    <row r="26" spans="1:42" ht="14.25" hidden="1" customHeight="1">
      <c r="Q26" s="300"/>
      <c r="R26" s="300"/>
      <c r="S26" s="1197"/>
      <c r="T26" s="286"/>
      <c r="U26" s="286"/>
      <c r="V26" s="242"/>
      <c r="W26" s="242"/>
      <c r="X26" s="242"/>
      <c r="Y26" s="242"/>
      <c r="Z26" s="242"/>
      <c r="AA26" s="242"/>
      <c r="AB26" s="242"/>
      <c r="AC26" s="242"/>
      <c r="AD26" s="242"/>
      <c r="AE26" s="242"/>
      <c r="AF26" s="242"/>
      <c r="AG26" s="242"/>
      <c r="AH26" s="242"/>
      <c r="AI26" s="242"/>
      <c r="AJ26" s="435"/>
    </row>
    <row r="27" spans="1:42" s="1773" customFormat="1" ht="25.5" hidden="1" customHeight="1">
      <c r="A27" s="1286"/>
      <c r="B27" s="1286"/>
      <c r="C27" s="1286"/>
      <c r="D27" s="1286"/>
      <c r="E27" s="1286"/>
      <c r="F27" s="1286"/>
      <c r="G27" s="1286"/>
      <c r="H27" s="1286"/>
      <c r="I27" s="1286"/>
      <c r="J27" s="1286"/>
      <c r="K27" s="1286"/>
      <c r="L27" s="1287"/>
      <c r="M27" s="1286"/>
      <c r="N27" s="1286"/>
      <c r="O27" s="1286"/>
      <c r="S27" s="2067" t="s">
        <v>40</v>
      </c>
      <c r="T27" s="2067"/>
      <c r="U27" s="1290"/>
      <c r="V27" s="2069" t="str">
        <f>IF(TITLE_NAME_OR_PR_CHANGE="",IF(TITLE_NAME_OR_PR="","",TITLE_NAME_OR_PR),TITLE_NAME_OR_PR_CHANGE)</f>
        <v/>
      </c>
      <c r="W27" s="2069"/>
      <c r="X27" s="2069"/>
      <c r="Y27" s="2069"/>
      <c r="Z27" s="2069"/>
      <c r="AA27" s="2069"/>
      <c r="AB27" s="248"/>
      <c r="AC27" s="2069" t="str">
        <f>IF(TITLE_NAME_OR_PR_CHANGE="",IF(TITLE_NAME_OR_PR="","",TITLE_NAME_OR_PR),TITLE_NAME_OR_PR_CHANGE)</f>
        <v/>
      </c>
      <c r="AD27" s="2069"/>
      <c r="AE27" s="2069"/>
      <c r="AF27" s="2069"/>
      <c r="AG27" s="2069"/>
      <c r="AH27" s="2069"/>
      <c r="AI27" s="248"/>
      <c r="AJ27" s="248"/>
      <c r="AK27" s="196"/>
      <c r="AL27" s="292"/>
      <c r="AM27" s="292"/>
      <c r="AN27" s="292"/>
      <c r="AO27" s="292"/>
      <c r="AP27" s="292"/>
    </row>
    <row r="28" spans="1:42" s="1773" customFormat="1" ht="18.75" hidden="1" customHeight="1">
      <c r="A28" s="1286"/>
      <c r="B28" s="1286"/>
      <c r="C28" s="1286"/>
      <c r="D28" s="1286"/>
      <c r="E28" s="1286"/>
      <c r="F28" s="1286"/>
      <c r="G28" s="1286"/>
      <c r="H28" s="1286"/>
      <c r="I28" s="1286"/>
      <c r="J28" s="1286"/>
      <c r="K28" s="1286"/>
      <c r="L28" s="1287"/>
      <c r="M28" s="1286"/>
      <c r="N28" s="1286"/>
      <c r="O28" s="1286"/>
      <c r="S28" s="2067" t="s">
        <v>483</v>
      </c>
      <c r="T28" s="2067"/>
      <c r="U28" s="1290"/>
      <c r="V28" s="2068" t="str">
        <f>IF(TITLE_DATE_CHANGE_PERIOD="",IF(TITLE_DATE_PR="","",TITLE_DATE_PR),TITLE_DATE_CHANGE_PERIOD)</f>
        <v/>
      </c>
      <c r="W28" s="2068"/>
      <c r="X28" s="2068"/>
      <c r="Y28" s="2068"/>
      <c r="Z28" s="2068"/>
      <c r="AA28" s="2068"/>
      <c r="AB28" s="248"/>
      <c r="AC28" s="2068" t="str">
        <f>IF(TITLE_DATE_CHANGE_PERIOD="",IF(TITLE_DATE_PR="","",TITLE_DATE_PR),TITLE_DATE_CHANGE_PERIOD)</f>
        <v/>
      </c>
      <c r="AD28" s="2068"/>
      <c r="AE28" s="2068"/>
      <c r="AF28" s="2068"/>
      <c r="AG28" s="2068"/>
      <c r="AH28" s="2068"/>
      <c r="AI28" s="248"/>
      <c r="AJ28" s="248"/>
      <c r="AK28" s="196"/>
      <c r="AL28" s="292"/>
      <c r="AM28" s="292"/>
      <c r="AN28" s="292"/>
      <c r="AO28" s="292"/>
      <c r="AP28" s="292"/>
    </row>
    <row r="29" spans="1:42" s="1773" customFormat="1" ht="18.75" hidden="1" customHeight="1">
      <c r="A29" s="1286"/>
      <c r="B29" s="1286"/>
      <c r="C29" s="1286"/>
      <c r="D29" s="1286"/>
      <c r="E29" s="1286"/>
      <c r="F29" s="1286"/>
      <c r="G29" s="1286"/>
      <c r="H29" s="1286"/>
      <c r="I29" s="1286"/>
      <c r="J29" s="1286"/>
      <c r="K29" s="1286"/>
      <c r="L29" s="1287"/>
      <c r="M29" s="1286"/>
      <c r="N29" s="1286"/>
      <c r="O29" s="1286"/>
      <c r="S29" s="2067" t="s">
        <v>484</v>
      </c>
      <c r="T29" s="2067"/>
      <c r="U29" s="1290"/>
      <c r="V29" s="2069" t="str">
        <f>IF(TITLE_NUMBER_PR_CHANGE="",IF(TITLE_NUMBER_PR="","",TITLE_NUMBER_PR),TITLE_NUMBER_PR_CHANGE)</f>
        <v/>
      </c>
      <c r="W29" s="2069"/>
      <c r="X29" s="2069"/>
      <c r="Y29" s="2069"/>
      <c r="Z29" s="2069"/>
      <c r="AA29" s="2069"/>
      <c r="AB29" s="248"/>
      <c r="AC29" s="2069" t="str">
        <f>IF(TITLE_NUMBER_PR_CHANGE="",IF(TITLE_NUMBER_PR="","",TITLE_NUMBER_PR),TITLE_NUMBER_PR_CHANGE)</f>
        <v/>
      </c>
      <c r="AD29" s="2069"/>
      <c r="AE29" s="2069"/>
      <c r="AF29" s="2069"/>
      <c r="AG29" s="2069"/>
      <c r="AH29" s="2069"/>
      <c r="AI29" s="248"/>
      <c r="AJ29" s="248"/>
      <c r="AK29" s="196"/>
      <c r="AL29" s="292"/>
      <c r="AM29" s="292"/>
      <c r="AN29" s="292"/>
      <c r="AO29" s="292"/>
      <c r="AP29" s="292"/>
    </row>
    <row r="30" spans="1:42" s="1773" customFormat="1" ht="18.75" hidden="1" customHeight="1">
      <c r="A30" s="1286"/>
      <c r="B30" s="1286"/>
      <c r="C30" s="1286"/>
      <c r="D30" s="1286"/>
      <c r="E30" s="1286"/>
      <c r="F30" s="1286"/>
      <c r="G30" s="1286"/>
      <c r="H30" s="1286"/>
      <c r="I30" s="1286"/>
      <c r="J30" s="1286"/>
      <c r="K30" s="1286"/>
      <c r="L30" s="1287"/>
      <c r="M30" s="1286"/>
      <c r="N30" s="1286"/>
      <c r="O30" s="1286"/>
      <c r="S30" s="2067" t="s">
        <v>41</v>
      </c>
      <c r="T30" s="2067"/>
      <c r="U30" s="1290"/>
      <c r="V30" s="2069" t="str">
        <f>IF(TITLE_IST_PUB_CHANGE="",IF(TITLE_IST_PUB="","",TITLE_IST_PUB),TITLE_IST_PUB_CHANGE)</f>
        <v/>
      </c>
      <c r="W30" s="2069"/>
      <c r="X30" s="2069"/>
      <c r="Y30" s="2069"/>
      <c r="Z30" s="2069"/>
      <c r="AA30" s="2069"/>
      <c r="AB30" s="248"/>
      <c r="AC30" s="2069" t="str">
        <f>IF(TITLE_IST_PUB_CHANGE="",IF(TITLE_IST_PUB="","",TITLE_IST_PUB),TITLE_IST_PUB_CHANGE)</f>
        <v/>
      </c>
      <c r="AD30" s="2069"/>
      <c r="AE30" s="2069"/>
      <c r="AF30" s="2069"/>
      <c r="AG30" s="2069"/>
      <c r="AH30" s="2069"/>
      <c r="AI30" s="248"/>
      <c r="AJ30" s="248"/>
      <c r="AK30" s="196"/>
      <c r="AL30" s="292"/>
      <c r="AM30" s="292"/>
      <c r="AN30" s="292"/>
      <c r="AO30" s="292"/>
      <c r="AP30" s="292"/>
    </row>
    <row r="31" spans="1:42" ht="14.25" hidden="1" customHeight="1">
      <c r="Q31" s="300"/>
      <c r="R31" s="300"/>
      <c r="S31" s="1197"/>
      <c r="T31" s="286"/>
      <c r="U31" s="286"/>
      <c r="V31" s="242"/>
      <c r="W31" s="242"/>
      <c r="X31" s="242"/>
      <c r="Y31" s="242"/>
      <c r="Z31" s="242"/>
      <c r="AA31" s="242"/>
      <c r="AB31" s="242"/>
      <c r="AC31" s="242"/>
      <c r="AD31" s="242"/>
      <c r="AE31" s="242"/>
      <c r="AF31" s="242"/>
      <c r="AG31" s="242"/>
      <c r="AH31" s="242"/>
      <c r="AI31" s="242"/>
      <c r="AJ31" s="435"/>
    </row>
    <row r="32" spans="1:42" s="1773" customFormat="1" ht="18.75" hidden="1" customHeight="1">
      <c r="A32" s="1286"/>
      <c r="B32" s="1286"/>
      <c r="C32" s="1286"/>
      <c r="D32" s="1286"/>
      <c r="E32" s="1286"/>
      <c r="F32" s="1286"/>
      <c r="G32" s="1286"/>
      <c r="H32" s="1286"/>
      <c r="I32" s="1286"/>
      <c r="J32" s="1286"/>
      <c r="K32" s="1286"/>
      <c r="L32" s="1287"/>
      <c r="M32" s="1286"/>
      <c r="N32" s="1286"/>
      <c r="O32" s="1286"/>
      <c r="S32" s="2067" t="s">
        <v>485</v>
      </c>
      <c r="T32" s="2067"/>
      <c r="U32" s="1290"/>
      <c r="V32" s="2068" t="str">
        <f>IF(TITLE_DATE_CHANGE_PERIOD="",IF(TITLE_DATE_PR="","",TITLE_DATE_PR),TITLE_DATE_CHANGE_PERIOD)</f>
        <v/>
      </c>
      <c r="W32" s="2068"/>
      <c r="X32" s="2068"/>
      <c r="Y32" s="2068"/>
      <c r="Z32" s="2068"/>
      <c r="AA32" s="2068"/>
      <c r="AB32" s="248"/>
      <c r="AC32" s="2068" t="str">
        <f>IF(TITLE_DATE_CHANGE_PERIOD="",IF(TITLE_DATE_PR="","",TITLE_DATE_PR),TITLE_DATE_CHANGE_PERIOD)</f>
        <v/>
      </c>
      <c r="AD32" s="2068"/>
      <c r="AE32" s="2068"/>
      <c r="AF32" s="2068"/>
      <c r="AG32" s="2068"/>
      <c r="AH32" s="2068"/>
      <c r="AI32" s="248"/>
      <c r="AJ32" s="248"/>
      <c r="AK32" s="196"/>
      <c r="AL32" s="292"/>
      <c r="AM32" s="292"/>
      <c r="AN32" s="292"/>
      <c r="AO32" s="292"/>
      <c r="AP32" s="292"/>
    </row>
    <row r="33" spans="1:42" s="1773" customFormat="1" ht="18.75" hidden="1" customHeight="1">
      <c r="A33" s="1286"/>
      <c r="B33" s="1286"/>
      <c r="C33" s="1286"/>
      <c r="D33" s="1286"/>
      <c r="E33" s="1286"/>
      <c r="F33" s="1286"/>
      <c r="G33" s="1286"/>
      <c r="H33" s="1286"/>
      <c r="I33" s="1286"/>
      <c r="J33" s="1286"/>
      <c r="K33" s="1286"/>
      <c r="L33" s="1287"/>
      <c r="M33" s="1286"/>
      <c r="N33" s="1286"/>
      <c r="O33" s="1286"/>
      <c r="S33" s="2067" t="s">
        <v>486</v>
      </c>
      <c r="T33" s="2067"/>
      <c r="U33" s="1290"/>
      <c r="V33" s="2069" t="str">
        <f>IF(TITLE_NUMBER_PR_CHANGE="",IF(TITLE_NUMBER_PR="","",TITLE_NUMBER_PR),TITLE_NUMBER_PR_CHANGE)</f>
        <v/>
      </c>
      <c r="W33" s="2069"/>
      <c r="X33" s="2069"/>
      <c r="Y33" s="2069"/>
      <c r="Z33" s="2069"/>
      <c r="AA33" s="2069"/>
      <c r="AB33" s="248"/>
      <c r="AC33" s="2069" t="str">
        <f>IF(TITLE_NUMBER_PR_CHANGE="",IF(TITLE_NUMBER_PR="","",TITLE_NUMBER_PR),TITLE_NUMBER_PR_CHANGE)</f>
        <v/>
      </c>
      <c r="AD33" s="2069"/>
      <c r="AE33" s="2069"/>
      <c r="AF33" s="2069"/>
      <c r="AG33" s="2069"/>
      <c r="AH33" s="2069"/>
      <c r="AI33" s="248"/>
      <c r="AJ33" s="248"/>
      <c r="AK33" s="196"/>
      <c r="AL33" s="292"/>
      <c r="AM33" s="292"/>
      <c r="AN33" s="292"/>
      <c r="AO33" s="292"/>
      <c r="AP33" s="292"/>
    </row>
    <row r="34" spans="1:42" s="1773" customFormat="1" ht="0.75" customHeight="1">
      <c r="A34" s="1286"/>
      <c r="B34" s="1286"/>
      <c r="C34" s="1286"/>
      <c r="D34" s="1286"/>
      <c r="E34" s="1286"/>
      <c r="F34" s="1286"/>
      <c r="G34" s="1286"/>
      <c r="H34" s="1286"/>
      <c r="I34" s="1286"/>
      <c r="J34" s="1286"/>
      <c r="K34" s="1286"/>
      <c r="L34" s="1287"/>
      <c r="M34" s="1286"/>
      <c r="N34" s="1286"/>
      <c r="O34" s="1286"/>
      <c r="S34" s="244"/>
      <c r="T34" s="244"/>
      <c r="U34" s="1369"/>
      <c r="V34" s="248"/>
      <c r="W34" s="248"/>
      <c r="X34" s="248"/>
      <c r="Y34" s="248"/>
      <c r="Z34" s="248"/>
      <c r="AA34" s="248"/>
      <c r="AB34" s="194" t="s">
        <v>487</v>
      </c>
      <c r="AC34" s="248"/>
      <c r="AD34" s="248"/>
      <c r="AE34" s="248"/>
      <c r="AF34" s="248"/>
      <c r="AG34" s="248"/>
      <c r="AH34" s="248"/>
      <c r="AI34" s="194" t="s">
        <v>487</v>
      </c>
      <c r="AL34" s="292"/>
      <c r="AM34" s="292"/>
      <c r="AN34" s="292"/>
      <c r="AO34" s="292"/>
      <c r="AP34" s="292"/>
    </row>
    <row r="35" spans="1:42" ht="14.25" customHeight="1">
      <c r="Q35" s="300"/>
      <c r="R35" s="300"/>
      <c r="S35" s="1197"/>
      <c r="T35" s="286"/>
      <c r="U35" s="1155"/>
      <c r="V35" s="2087"/>
      <c r="W35" s="2087"/>
      <c r="X35" s="2087"/>
      <c r="Y35" s="2087"/>
      <c r="Z35" s="2087"/>
      <c r="AA35" s="2087"/>
      <c r="AB35" s="2087"/>
      <c r="AC35" s="2087"/>
      <c r="AD35" s="2087"/>
      <c r="AE35" s="2087"/>
      <c r="AF35" s="2087"/>
      <c r="AG35" s="2087"/>
      <c r="AH35" s="2087"/>
      <c r="AI35" s="2087"/>
    </row>
    <row r="36" spans="1:42" ht="14.25" customHeight="1">
      <c r="Q36" s="300"/>
      <c r="R36" s="300"/>
      <c r="S36" s="1874" t="s">
        <v>291</v>
      </c>
      <c r="T36" s="1874"/>
      <c r="U36" s="1874"/>
      <c r="V36" s="1874"/>
      <c r="W36" s="1874"/>
      <c r="X36" s="1874"/>
      <c r="Y36" s="1874"/>
      <c r="Z36" s="1874"/>
      <c r="AA36" s="1874"/>
      <c r="AB36" s="1874"/>
      <c r="AC36" s="1874"/>
      <c r="AD36" s="1874"/>
      <c r="AE36" s="1874"/>
      <c r="AF36" s="1874"/>
      <c r="AG36" s="1874"/>
      <c r="AH36" s="1874"/>
      <c r="AI36" s="1874"/>
      <c r="AJ36" s="1874"/>
      <c r="AK36" s="1874" t="s">
        <v>292</v>
      </c>
    </row>
    <row r="37" spans="1:42" ht="14.25" customHeight="1">
      <c r="Q37" s="300"/>
      <c r="R37" s="300"/>
      <c r="S37" s="2088" t="s">
        <v>88</v>
      </c>
      <c r="T37" s="1959" t="s">
        <v>488</v>
      </c>
      <c r="U37" s="215"/>
      <c r="V37" s="2089" t="s">
        <v>489</v>
      </c>
      <c r="W37" s="2090"/>
      <c r="X37" s="2090"/>
      <c r="Y37" s="2090"/>
      <c r="Z37" s="2090"/>
      <c r="AA37" s="2091"/>
      <c r="AB37" s="2092" t="s">
        <v>490</v>
      </c>
      <c r="AC37" s="2089" t="s">
        <v>489</v>
      </c>
      <c r="AD37" s="2090"/>
      <c r="AE37" s="2090"/>
      <c r="AF37" s="2090"/>
      <c r="AG37" s="2090"/>
      <c r="AH37" s="2091"/>
      <c r="AI37" s="2092" t="s">
        <v>491</v>
      </c>
      <c r="AJ37" s="2095" t="s">
        <v>492</v>
      </c>
      <c r="AK37" s="1874"/>
    </row>
    <row r="38" spans="1:42" ht="33.75" customHeight="1">
      <c r="Q38" s="300"/>
      <c r="R38" s="300"/>
      <c r="S38" s="2088"/>
      <c r="T38" s="1959"/>
      <c r="U38" s="939"/>
      <c r="V38" s="1367" t="s">
        <v>1684</v>
      </c>
      <c r="W38" s="1856" t="s">
        <v>495</v>
      </c>
      <c r="X38" s="1855"/>
      <c r="Y38" s="1856" t="s">
        <v>496</v>
      </c>
      <c r="Z38" s="1861"/>
      <c r="AA38" s="1855"/>
      <c r="AB38" s="2093"/>
      <c r="AC38" s="1367" t="s">
        <v>1684</v>
      </c>
      <c r="AD38" s="1856" t="s">
        <v>495</v>
      </c>
      <c r="AE38" s="1855"/>
      <c r="AF38" s="1856" t="s">
        <v>496</v>
      </c>
      <c r="AG38" s="1861"/>
      <c r="AH38" s="1855"/>
      <c r="AI38" s="2093"/>
      <c r="AJ38" s="2096"/>
      <c r="AK38" s="1874"/>
    </row>
    <row r="39" spans="1:42" ht="33.75" customHeight="1">
      <c r="A39" s="1288"/>
      <c r="B39" s="1288" t="s">
        <v>140</v>
      </c>
      <c r="C39" s="1288" t="s">
        <v>141</v>
      </c>
      <c r="D39" s="1288" t="s">
        <v>142</v>
      </c>
      <c r="E39" s="1282" t="s">
        <v>497</v>
      </c>
      <c r="F39" s="1282" t="s">
        <v>498</v>
      </c>
      <c r="G39" s="1282" t="s">
        <v>499</v>
      </c>
      <c r="H39" s="1282"/>
      <c r="I39" s="1282" t="s">
        <v>1685</v>
      </c>
      <c r="J39" s="1282" t="s">
        <v>502</v>
      </c>
      <c r="K39" s="1282" t="s">
        <v>1686</v>
      </c>
      <c r="L39" s="1282" t="s">
        <v>478</v>
      </c>
      <c r="Q39" s="300"/>
      <c r="R39" s="300"/>
      <c r="S39" s="2088"/>
      <c r="T39" s="1959"/>
      <c r="U39" s="216"/>
      <c r="V39" s="1367" t="s">
        <v>1687</v>
      </c>
      <c r="W39" s="1130" t="s">
        <v>1688</v>
      </c>
      <c r="X39" s="1130" t="s">
        <v>1689</v>
      </c>
      <c r="Y39" s="1370" t="s">
        <v>506</v>
      </c>
      <c r="Z39" s="1965" t="s">
        <v>507</v>
      </c>
      <c r="AA39" s="1979"/>
      <c r="AB39" s="2094"/>
      <c r="AC39" s="1367" t="s">
        <v>1687</v>
      </c>
      <c r="AD39" s="1130" t="s">
        <v>1688</v>
      </c>
      <c r="AE39" s="1130" t="s">
        <v>1689</v>
      </c>
      <c r="AF39" s="1370" t="s">
        <v>506</v>
      </c>
      <c r="AG39" s="1965" t="s">
        <v>507</v>
      </c>
      <c r="AH39" s="1979"/>
      <c r="AI39" s="2094"/>
      <c r="AJ39" s="2097"/>
      <c r="AK39" s="1874"/>
    </row>
    <row r="40" spans="1:42" s="1558" customFormat="1" ht="0" hidden="1" customHeight="1">
      <c r="A40" s="1288"/>
      <c r="B40" s="1288"/>
      <c r="C40" s="1288"/>
      <c r="D40" s="1288"/>
      <c r="E40" s="1288"/>
      <c r="F40" s="1288"/>
      <c r="G40" s="1288"/>
      <c r="H40" s="1288"/>
      <c r="I40" s="1288"/>
      <c r="J40" s="1288"/>
      <c r="K40" s="1288"/>
      <c r="L40" s="1282"/>
      <c r="M40" s="1280"/>
      <c r="N40" s="1280"/>
      <c r="O40" s="1280"/>
      <c r="P40" s="1157"/>
      <c r="Q40" s="1158"/>
      <c r="R40" s="1173">
        <v>1</v>
      </c>
      <c r="S40" s="1199" t="s">
        <v>109</v>
      </c>
      <c r="T40" s="1174" t="s">
        <v>110</v>
      </c>
      <c r="U40" s="1156" t="str">
        <f ca="1">OFFSET(U40,0,-1)</f>
        <v>2</v>
      </c>
      <c r="V40" s="1366">
        <f ca="1">OFFSET(V40,0,-1)+1</f>
        <v>3</v>
      </c>
      <c r="W40" s="1366">
        <f ca="1">OFFSET(W40,0,-1)+1</f>
        <v>4</v>
      </c>
      <c r="X40" s="1366">
        <f ca="1">OFFSET(X40,0,-1)+1</f>
        <v>5</v>
      </c>
      <c r="Y40" s="1366">
        <f ca="1">OFFSET(Y40,0,-1)+1</f>
        <v>6</v>
      </c>
      <c r="Z40" s="2086">
        <f ca="1">OFFSET(Z40,0,-1)+1</f>
        <v>7</v>
      </c>
      <c r="AA40" s="2086"/>
      <c r="AB40" s="1366">
        <f ca="1">OFFSET(AB40,0,-2)+1</f>
        <v>8</v>
      </c>
      <c r="AC40" s="1366">
        <f ca="1">OFFSET(AC40,0,-1)+1</f>
        <v>9</v>
      </c>
      <c r="AD40" s="1366">
        <f ca="1">OFFSET(AD40,0,-1)+1</f>
        <v>10</v>
      </c>
      <c r="AE40" s="1366">
        <f ca="1">OFFSET(AE40,0,-1)+1</f>
        <v>11</v>
      </c>
      <c r="AF40" s="1366">
        <f ca="1">OFFSET(AF40,0,-1)+1</f>
        <v>12</v>
      </c>
      <c r="AG40" s="2086">
        <f ca="1">OFFSET(AG40,0,-1)+1</f>
        <v>13</v>
      </c>
      <c r="AH40" s="2086"/>
      <c r="AI40" s="1366">
        <f ca="1">OFFSET(AI40,0,-2)+1</f>
        <v>14</v>
      </c>
      <c r="AJ40" s="1156">
        <f ca="1">OFFSET(AJ40,0,-1)</f>
        <v>14</v>
      </c>
      <c r="AK40" s="1366">
        <f ca="1">OFFSET(AK40,0,-1)+1</f>
        <v>15</v>
      </c>
      <c r="AL40" s="437"/>
      <c r="AM40" s="437"/>
      <c r="AN40" s="437"/>
      <c r="AO40" s="437"/>
      <c r="AP40" s="437"/>
    </row>
    <row r="41" spans="1:42" ht="23.25" customHeight="1">
      <c r="A41" s="1281" t="s">
        <v>222</v>
      </c>
      <c r="B41" s="1281"/>
      <c r="C41" s="1281"/>
      <c r="D41" s="1281"/>
      <c r="E41" s="2076">
        <v>1</v>
      </c>
      <c r="F41" s="1281"/>
      <c r="G41" s="1281"/>
      <c r="H41" s="1281"/>
      <c r="I41" s="1281"/>
      <c r="J41" s="1281"/>
      <c r="K41" s="1281"/>
      <c r="L41" s="1282"/>
      <c r="M41" s="1283"/>
      <c r="N41" s="1283"/>
      <c r="O41" s="1283"/>
      <c r="P41" s="282"/>
      <c r="Q41" s="281"/>
      <c r="R41" s="276"/>
      <c r="S41" s="1372">
        <f>INDEX(PT_DIFFERENTIATION_NUM_NTAR,MATCH(A41,PT_DIFFERENTIATION_NTAR_ID,0))</f>
        <v>0</v>
      </c>
      <c r="T41" s="212" t="s">
        <v>128</v>
      </c>
      <c r="U41" s="214"/>
      <c r="V41" s="2070"/>
      <c r="W41" s="2071"/>
      <c r="X41" s="2071"/>
      <c r="Y41" s="2071"/>
      <c r="Z41" s="2071"/>
      <c r="AA41" s="2071"/>
      <c r="AB41" s="2072"/>
      <c r="AC41" s="2070" t="str">
        <f>INDEX(PT_DIFFERENTIATION_NTAR,MATCH(A41,PT_DIFFERENTIATION_NTAR_ID,0))</f>
        <v/>
      </c>
      <c r="AD41" s="2071"/>
      <c r="AE41" s="2071"/>
      <c r="AF41" s="2071"/>
      <c r="AG41" s="2071"/>
      <c r="AH41" s="2071"/>
      <c r="AI41" s="2071"/>
      <c r="AJ41" s="2072"/>
      <c r="AK41" s="117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426"/>
      <c r="AN41" s="426" t="str">
        <f t="shared" ref="AN41:AN53" si="1">IF(T41="","",T41)</f>
        <v>Наименование тарифа</v>
      </c>
      <c r="AO41" s="426"/>
      <c r="AP41" s="426"/>
    </row>
    <row r="42" spans="1:42" ht="23.25" customHeight="1">
      <c r="A42" s="1281" t="s">
        <v>222</v>
      </c>
      <c r="B42" s="1281" t="s">
        <v>223</v>
      </c>
      <c r="C42" s="1281"/>
      <c r="D42" s="1281"/>
      <c r="E42" s="2077"/>
      <c r="F42" s="2076">
        <v>1</v>
      </c>
      <c r="G42" s="1281"/>
      <c r="H42" s="1281"/>
      <c r="I42" s="1281"/>
      <c r="J42" s="1281"/>
      <c r="K42" s="1281"/>
      <c r="L42" s="1282"/>
      <c r="M42" s="1283"/>
      <c r="N42" s="1283"/>
      <c r="O42" s="1283"/>
      <c r="P42" s="1368"/>
      <c r="Q42" s="273"/>
      <c r="R42" s="274"/>
      <c r="S42" s="1372" t="str">
        <f>INDEX(PT_DIFFERENTIATION_NUM_TER,MATCH(B42,PT_DIFFERENTIATION_TER_ID,0))</f>
        <v>.</v>
      </c>
      <c r="T42" s="224" t="s">
        <v>460</v>
      </c>
      <c r="U42" s="214"/>
      <c r="V42" s="2070"/>
      <c r="W42" s="2071"/>
      <c r="X42" s="2071"/>
      <c r="Y42" s="2071"/>
      <c r="Z42" s="2071"/>
      <c r="AA42" s="2071"/>
      <c r="AB42" s="2072"/>
      <c r="AC42" s="2070" t="str">
        <f>INDEX(PT_DIFFERENTIATION_TER,MATCH(B42,PT_DIFFERENTIATION_TER_ID,0))</f>
        <v/>
      </c>
      <c r="AD42" s="2071"/>
      <c r="AE42" s="2071"/>
      <c r="AF42" s="2071"/>
      <c r="AG42" s="2071"/>
      <c r="AH42" s="2071"/>
      <c r="AI42" s="2071"/>
      <c r="AJ42" s="2072"/>
      <c r="AK42" s="1179" t="s">
        <v>461</v>
      </c>
      <c r="AM42" s="426"/>
      <c r="AN42" s="426" t="str">
        <f t="shared" si="1"/>
        <v>Территория действия тарифа</v>
      </c>
      <c r="AO42" s="426"/>
      <c r="AP42" s="426"/>
    </row>
    <row r="43" spans="1:42" ht="23.25" customHeight="1">
      <c r="A43" s="1281" t="s">
        <v>222</v>
      </c>
      <c r="B43" s="1281" t="s">
        <v>223</v>
      </c>
      <c r="C43" s="1281" t="s">
        <v>224</v>
      </c>
      <c r="D43" s="1281"/>
      <c r="E43" s="2077"/>
      <c r="F43" s="2077"/>
      <c r="G43" s="2076">
        <v>1</v>
      </c>
      <c r="H43" s="1281"/>
      <c r="I43" s="1281"/>
      <c r="J43" s="1281"/>
      <c r="K43" s="1281"/>
      <c r="L43" s="1282"/>
      <c r="M43" s="1283"/>
      <c r="N43" s="1283"/>
      <c r="O43" s="1283"/>
      <c r="P43" s="275"/>
      <c r="Q43" s="273"/>
      <c r="R43" s="274"/>
      <c r="S43" s="1372" t="str">
        <f>INDEX(PT_DIFFERENTIATION_NUM_CS,MATCH(C43,PT_DIFFERENTIATION_CS_ID,0))</f>
        <v>..</v>
      </c>
      <c r="T43" s="225" t="s">
        <v>1676</v>
      </c>
      <c r="U43" s="214"/>
      <c r="V43" s="2070"/>
      <c r="W43" s="2071"/>
      <c r="X43" s="2071"/>
      <c r="Y43" s="2071"/>
      <c r="Z43" s="2071"/>
      <c r="AA43" s="2071"/>
      <c r="AB43" s="2072"/>
      <c r="AC43" s="2070" t="str">
        <f>INDEX(PT_DIFFERENTIATION_CS,MATCH(C43,PT_DIFFERENTIATION_CS_ID,0))</f>
        <v/>
      </c>
      <c r="AD43" s="2071"/>
      <c r="AE43" s="2071"/>
      <c r="AF43" s="2071"/>
      <c r="AG43" s="2071"/>
      <c r="AH43" s="2071"/>
      <c r="AI43" s="2071"/>
      <c r="AJ43" s="2072"/>
      <c r="AK43" s="1179" t="s">
        <v>1677</v>
      </c>
      <c r="AM43" s="426"/>
      <c r="AN43" s="426" t="str">
        <f t="shared" si="1"/>
        <v>Наименование централизованной системы холодного водоснабжения</v>
      </c>
      <c r="AO43" s="426"/>
      <c r="AP43" s="426"/>
    </row>
    <row r="44" spans="1:42" ht="23.25" customHeight="1">
      <c r="A44" s="1281" t="s">
        <v>222</v>
      </c>
      <c r="B44" s="1281" t="s">
        <v>223</v>
      </c>
      <c r="C44" s="1281" t="s">
        <v>224</v>
      </c>
      <c r="D44" s="1281" t="s">
        <v>1693</v>
      </c>
      <c r="E44" s="2077"/>
      <c r="F44" s="2077"/>
      <c r="G44" s="2077"/>
      <c r="H44" s="2077"/>
      <c r="I44" s="2078" t="str">
        <f>S43&amp;".1"</f>
        <v>...1</v>
      </c>
      <c r="J44" s="1281"/>
      <c r="K44" s="1281"/>
      <c r="L44" s="1282"/>
      <c r="P44" s="1995">
        <v>1</v>
      </c>
      <c r="Q44" s="1365"/>
      <c r="R44" s="277"/>
      <c r="S44" s="1372" t="str">
        <f>$I44</f>
        <v>...1</v>
      </c>
      <c r="T44" s="200" t="s">
        <v>1678</v>
      </c>
      <c r="U44" s="214"/>
      <c r="V44" s="2176"/>
      <c r="W44" s="2177"/>
      <c r="X44" s="2177"/>
      <c r="Y44" s="2177"/>
      <c r="Z44" s="2177"/>
      <c r="AA44" s="2177"/>
      <c r="AB44" s="2178"/>
      <c r="AC44" s="2179"/>
      <c r="AD44" s="2180"/>
      <c r="AE44" s="2180"/>
      <c r="AF44" s="2180"/>
      <c r="AG44" s="2180"/>
      <c r="AH44" s="2180"/>
      <c r="AI44" s="2180"/>
      <c r="AJ44" s="2181"/>
      <c r="AK44" s="1179" t="s">
        <v>1679</v>
      </c>
      <c r="AM44" s="426"/>
      <c r="AN44" s="426" t="str">
        <f t="shared" si="1"/>
        <v>Наименование признака дифференциации</v>
      </c>
      <c r="AO44" s="426"/>
      <c r="AP44" s="426"/>
    </row>
    <row r="45" spans="1:42" ht="23.25" customHeight="1">
      <c r="A45" s="1281" t="s">
        <v>222</v>
      </c>
      <c r="B45" s="1281" t="s">
        <v>223</v>
      </c>
      <c r="C45" s="1281" t="s">
        <v>224</v>
      </c>
      <c r="D45" s="1281" t="s">
        <v>1693</v>
      </c>
      <c r="E45" s="2077"/>
      <c r="F45" s="2077"/>
      <c r="G45" s="2077"/>
      <c r="H45" s="2077"/>
      <c r="I45" s="2079"/>
      <c r="J45" s="2078" t="str">
        <f>I44&amp;".1"</f>
        <v>...1.1</v>
      </c>
      <c r="K45" s="1281"/>
      <c r="L45" s="1282" t="s">
        <v>469</v>
      </c>
      <c r="P45" s="1995"/>
      <c r="Q45" s="1995">
        <v>1</v>
      </c>
      <c r="R45" s="278"/>
      <c r="S45" s="1372" t="str">
        <f>$J45</f>
        <v>...1.1</v>
      </c>
      <c r="T45" s="201" t="s">
        <v>470</v>
      </c>
      <c r="U45" s="214"/>
      <c r="V45" s="2064"/>
      <c r="W45" s="2065"/>
      <c r="X45" s="2065"/>
      <c r="Y45" s="2065"/>
      <c r="Z45" s="2065"/>
      <c r="AA45" s="2065"/>
      <c r="AB45" s="2066"/>
      <c r="AC45" s="2064"/>
      <c r="AD45" s="2065"/>
      <c r="AE45" s="2065"/>
      <c r="AF45" s="2065"/>
      <c r="AG45" s="2065"/>
      <c r="AH45" s="2065"/>
      <c r="AI45" s="2065"/>
      <c r="AJ45" s="2066"/>
      <c r="AK45" s="1228" t="s">
        <v>1680</v>
      </c>
      <c r="AM45" s="426"/>
      <c r="AN45" s="426" t="str">
        <f t="shared" si="1"/>
        <v>Группа потребителей</v>
      </c>
      <c r="AO45" s="426"/>
      <c r="AP45" s="426"/>
    </row>
    <row r="46" spans="1:42" ht="23.25" customHeight="1">
      <c r="A46" s="1281" t="s">
        <v>222</v>
      </c>
      <c r="B46" s="1281" t="s">
        <v>223</v>
      </c>
      <c r="C46" s="1281" t="s">
        <v>224</v>
      </c>
      <c r="D46" s="1281" t="s">
        <v>1693</v>
      </c>
      <c r="E46" s="2077"/>
      <c r="F46" s="2077"/>
      <c r="G46" s="2077"/>
      <c r="H46" s="2077"/>
      <c r="I46" s="2079"/>
      <c r="J46" s="2079"/>
      <c r="K46" s="2078" t="str">
        <f>J45&amp;".1"</f>
        <v>...1.1.1</v>
      </c>
      <c r="L46" s="1282"/>
      <c r="P46" s="1995"/>
      <c r="Q46" s="1995"/>
      <c r="R46" s="278">
        <v>1</v>
      </c>
      <c r="S46" s="1372" t="str">
        <f>$K46</f>
        <v>...1.1.1</v>
      </c>
      <c r="T46" s="1354"/>
      <c r="U46" s="214"/>
      <c r="V46" s="664"/>
      <c r="W46" s="664"/>
      <c r="X46" s="1178"/>
      <c r="Y46" s="2080"/>
      <c r="Z46" s="1885" t="s">
        <v>59</v>
      </c>
      <c r="AA46" s="2080"/>
      <c r="AB46" s="1885" t="s">
        <v>59</v>
      </c>
      <c r="AC46" s="664"/>
      <c r="AD46" s="664"/>
      <c r="AE46" s="1178"/>
      <c r="AF46" s="2080"/>
      <c r="AG46" s="1885" t="s">
        <v>59</v>
      </c>
      <c r="AH46" s="2082"/>
      <c r="AI46" s="1885" t="s">
        <v>59</v>
      </c>
      <c r="AJ46" s="1355"/>
      <c r="AK46" s="2182"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437" t="e">
        <f ca="1">STRCHECKDATE(V47:AJ47)</f>
        <v>#NAME?</v>
      </c>
      <c r="AM46" s="426"/>
      <c r="AN46" s="426" t="str">
        <f t="shared" si="1"/>
        <v/>
      </c>
      <c r="AO46" s="426"/>
      <c r="AP46" s="426"/>
    </row>
    <row r="47" spans="1:42" ht="0" hidden="1" customHeight="1">
      <c r="A47" s="1281" t="s">
        <v>222</v>
      </c>
      <c r="B47" s="1281" t="s">
        <v>223</v>
      </c>
      <c r="C47" s="1281" t="s">
        <v>224</v>
      </c>
      <c r="D47" s="1281" t="s">
        <v>1693</v>
      </c>
      <c r="E47" s="2077"/>
      <c r="F47" s="2077"/>
      <c r="G47" s="2077"/>
      <c r="H47" s="2077"/>
      <c r="I47" s="2079"/>
      <c r="J47" s="2079"/>
      <c r="K47" s="2078"/>
      <c r="L47" s="1282"/>
      <c r="P47" s="1995"/>
      <c r="Q47" s="1995"/>
      <c r="R47" s="278"/>
      <c r="S47" s="1371"/>
      <c r="T47" s="214"/>
      <c r="U47" s="214"/>
      <c r="V47" s="246"/>
      <c r="W47" s="246"/>
      <c r="X47" s="250" t="str">
        <f>Y46&amp;"-"&amp;AA46</f>
        <v>-</v>
      </c>
      <c r="Y47" s="2081"/>
      <c r="Z47" s="1885"/>
      <c r="AA47" s="2081"/>
      <c r="AB47" s="1885"/>
      <c r="AC47" s="246"/>
      <c r="AD47" s="246"/>
      <c r="AE47" s="250" t="str">
        <f>AF46&amp;"-"&amp;AH46</f>
        <v>-</v>
      </c>
      <c r="AF47" s="2081"/>
      <c r="AG47" s="1885"/>
      <c r="AH47" s="2083"/>
      <c r="AI47" s="1885"/>
      <c r="AJ47" s="1356"/>
      <c r="AK47" s="2182"/>
      <c r="AM47" s="426"/>
      <c r="AN47" s="426" t="str">
        <f t="shared" si="1"/>
        <v/>
      </c>
      <c r="AO47" s="426"/>
      <c r="AP47" s="426"/>
    </row>
    <row r="48" spans="1:42" ht="21" customHeight="1">
      <c r="A48" s="1281" t="s">
        <v>222</v>
      </c>
      <c r="B48" s="1281" t="s">
        <v>223</v>
      </c>
      <c r="C48" s="1281" t="s">
        <v>224</v>
      </c>
      <c r="D48" s="1281" t="s">
        <v>1693</v>
      </c>
      <c r="E48" s="2077"/>
      <c r="F48" s="2077"/>
      <c r="G48" s="2077"/>
      <c r="H48" s="2077"/>
      <c r="I48" s="2079"/>
      <c r="J48" s="2078"/>
      <c r="K48" s="1281"/>
      <c r="L48" s="1282"/>
      <c r="P48" s="1995"/>
      <c r="Q48" s="1995"/>
      <c r="R48" s="277"/>
      <c r="S48" s="1200"/>
      <c r="T48" s="202" t="s">
        <v>1681</v>
      </c>
      <c r="U48" s="291"/>
      <c r="V48" s="291"/>
      <c r="W48" s="291"/>
      <c r="X48" s="291"/>
      <c r="Y48" s="291"/>
      <c r="Z48" s="291"/>
      <c r="AA48" s="291"/>
      <c r="AB48" s="291"/>
      <c r="AC48" s="291"/>
      <c r="AD48" s="291"/>
      <c r="AE48" s="291"/>
      <c r="AF48" s="291"/>
      <c r="AG48" s="291"/>
      <c r="AH48" s="291"/>
      <c r="AI48" s="291"/>
      <c r="AJ48" s="291"/>
      <c r="AK48" s="1179" t="s">
        <v>1682</v>
      </c>
      <c r="AM48" s="426"/>
      <c r="AN48" s="426" t="str">
        <f t="shared" si="1"/>
        <v>Добавить значение признака дифференциации</v>
      </c>
      <c r="AO48" s="426"/>
      <c r="AP48" s="426"/>
    </row>
    <row r="49" spans="1:42" ht="21" customHeight="1">
      <c r="A49" s="1281" t="s">
        <v>222</v>
      </c>
      <c r="B49" s="1281" t="s">
        <v>223</v>
      </c>
      <c r="C49" s="1281" t="s">
        <v>224</v>
      </c>
      <c r="D49" s="1281" t="s">
        <v>1693</v>
      </c>
      <c r="E49" s="2077"/>
      <c r="F49" s="2077"/>
      <c r="G49" s="2077"/>
      <c r="H49" s="2077"/>
      <c r="I49" s="2078"/>
      <c r="J49" s="1281"/>
      <c r="K49" s="1281"/>
      <c r="L49" s="1282"/>
      <c r="P49" s="1995"/>
      <c r="Q49" s="1365"/>
      <c r="R49" s="277"/>
      <c r="S49" s="1200"/>
      <c r="T49" s="288" t="s">
        <v>475</v>
      </c>
      <c r="U49" s="291"/>
      <c r="V49" s="291"/>
      <c r="W49" s="291"/>
      <c r="X49" s="291"/>
      <c r="Y49" s="291"/>
      <c r="Z49" s="291"/>
      <c r="AA49" s="291"/>
      <c r="AB49" s="290"/>
      <c r="AC49" s="291"/>
      <c r="AD49" s="291"/>
      <c r="AE49" s="291"/>
      <c r="AF49" s="291"/>
      <c r="AG49" s="291"/>
      <c r="AH49" s="291"/>
      <c r="AI49" s="290"/>
      <c r="AJ49" s="291"/>
      <c r="AK49" s="1357"/>
      <c r="AM49" s="426"/>
      <c r="AN49" s="426" t="str">
        <f t="shared" si="1"/>
        <v>Добавить группу потребителей</v>
      </c>
      <c r="AO49" s="426"/>
      <c r="AP49" s="426"/>
    </row>
    <row r="50" spans="1:42" ht="21" customHeight="1">
      <c r="A50" s="1281" t="s">
        <v>222</v>
      </c>
      <c r="B50" s="1281" t="s">
        <v>223</v>
      </c>
      <c r="C50" s="1281" t="s">
        <v>224</v>
      </c>
      <c r="D50" s="1281" t="s">
        <v>1693</v>
      </c>
      <c r="E50" s="2077"/>
      <c r="F50" s="2077"/>
      <c r="G50" s="2077"/>
      <c r="H50" s="2076"/>
      <c r="I50" s="1281"/>
      <c r="J50" s="1281"/>
      <c r="K50" s="1281"/>
      <c r="L50" s="1282"/>
      <c r="M50" s="1283"/>
      <c r="N50" s="1283"/>
      <c r="O50" s="462"/>
      <c r="P50" s="281"/>
      <c r="Q50" s="299"/>
      <c r="R50" s="276"/>
      <c r="S50" s="1200"/>
      <c r="T50" s="296" t="s">
        <v>1683</v>
      </c>
      <c r="U50" s="291"/>
      <c r="V50" s="291"/>
      <c r="W50" s="291"/>
      <c r="X50" s="291"/>
      <c r="Y50" s="291"/>
      <c r="Z50" s="291"/>
      <c r="AA50" s="291"/>
      <c r="AB50" s="290"/>
      <c r="AC50" s="291"/>
      <c r="AD50" s="291"/>
      <c r="AE50" s="291"/>
      <c r="AF50" s="291"/>
      <c r="AG50" s="291"/>
      <c r="AH50" s="291"/>
      <c r="AI50" s="290"/>
      <c r="AJ50" s="291"/>
      <c r="AK50" s="217"/>
      <c r="AM50" s="426"/>
      <c r="AN50" s="426" t="str">
        <f t="shared" si="1"/>
        <v>Добавить наименование признака дифференциации</v>
      </c>
      <c r="AO50" s="426"/>
      <c r="AP50" s="426"/>
    </row>
    <row r="51" spans="1:42" s="1559" customFormat="1" ht="0" hidden="1" customHeight="1">
      <c r="A51" s="1262" t="s">
        <v>222</v>
      </c>
      <c r="B51" s="1262" t="s">
        <v>223</v>
      </c>
      <c r="C51" s="1234"/>
      <c r="D51" s="1234"/>
      <c r="E51" s="2077"/>
      <c r="F51" s="2076"/>
      <c r="G51" s="1234"/>
      <c r="H51" s="1234"/>
      <c r="I51" s="1234"/>
      <c r="J51" s="1234"/>
      <c r="K51" s="1234"/>
      <c r="L51" s="1373"/>
      <c r="M51" s="1241"/>
      <c r="N51" s="1241"/>
      <c r="P51" s="1236"/>
      <c r="Q51" s="1237"/>
      <c r="R51" s="1236"/>
      <c r="S51" s="1242"/>
      <c r="T51" s="1245" t="s">
        <v>434</v>
      </c>
      <c r="U51" s="1244"/>
      <c r="V51" s="1244"/>
      <c r="W51" s="1244"/>
      <c r="X51" s="1244"/>
      <c r="Y51" s="1244"/>
      <c r="Z51" s="1244"/>
      <c r="AA51" s="1244"/>
      <c r="AB51" s="1244"/>
      <c r="AC51" s="1244"/>
      <c r="AD51" s="1244"/>
      <c r="AE51" s="1244"/>
      <c r="AF51" s="1244"/>
      <c r="AG51" s="1244"/>
      <c r="AH51" s="1244"/>
      <c r="AI51" s="1244"/>
      <c r="AJ51" s="1244"/>
      <c r="AK51" s="1244"/>
      <c r="AM51" s="702"/>
      <c r="AN51" s="702" t="str">
        <f t="shared" si="1"/>
        <v>Добавить централизованную систему для дифференциации</v>
      </c>
      <c r="AO51" s="702"/>
      <c r="AP51" s="702"/>
    </row>
    <row r="52" spans="1:42" s="1559" customFormat="1" ht="0" hidden="1" customHeight="1">
      <c r="A52" s="1262" t="s">
        <v>222</v>
      </c>
      <c r="B52" s="1262"/>
      <c r="C52" s="1262"/>
      <c r="D52" s="1262"/>
      <c r="E52" s="2076"/>
      <c r="F52" s="1262"/>
      <c r="G52" s="1262"/>
      <c r="H52" s="1262"/>
      <c r="I52" s="1262"/>
      <c r="J52" s="1262"/>
      <c r="K52" s="1262"/>
      <c r="L52" s="1265"/>
      <c r="M52" s="1241"/>
      <c r="N52" s="1241"/>
      <c r="O52" s="444"/>
      <c r="P52" s="308"/>
      <c r="Q52" s="1263"/>
      <c r="R52" s="308"/>
      <c r="S52" s="1242"/>
      <c r="T52" s="1245" t="s">
        <v>435</v>
      </c>
      <c r="U52" s="1244"/>
      <c r="V52" s="1244"/>
      <c r="W52" s="1244"/>
      <c r="X52" s="1244"/>
      <c r="Y52" s="1244"/>
      <c r="Z52" s="1244"/>
      <c r="AA52" s="1244"/>
      <c r="AB52" s="1244"/>
      <c r="AC52" s="1244"/>
      <c r="AD52" s="1244"/>
      <c r="AE52" s="1244"/>
      <c r="AF52" s="1244"/>
      <c r="AG52" s="1244"/>
      <c r="AH52" s="1244"/>
      <c r="AI52" s="1244"/>
      <c r="AJ52" s="1244"/>
      <c r="AK52" s="1244"/>
      <c r="AM52" s="426"/>
      <c r="AN52" s="426" t="str">
        <f t="shared" si="1"/>
        <v>Добавить территорию для дифференциации</v>
      </c>
      <c r="AO52" s="426"/>
      <c r="AP52" s="426"/>
    </row>
    <row r="53" spans="1:42" s="1559" customFormat="1" ht="0" hidden="1" customHeight="1">
      <c r="A53" s="1234"/>
      <c r="B53" s="1234"/>
      <c r="C53" s="1234"/>
      <c r="D53" s="1234"/>
      <c r="E53" s="1262"/>
      <c r="F53" s="1234"/>
      <c r="G53" s="1234"/>
      <c r="H53" s="1234"/>
      <c r="I53" s="1234"/>
      <c r="J53" s="1234"/>
      <c r="K53" s="1234"/>
      <c r="L53" s="1373"/>
      <c r="M53" s="1241"/>
      <c r="N53" s="1241"/>
      <c r="P53" s="1236"/>
      <c r="Q53" s="1237"/>
      <c r="R53" s="1236"/>
      <c r="S53" s="1242"/>
      <c r="T53" s="1245" t="s">
        <v>436</v>
      </c>
      <c r="U53" s="1244"/>
      <c r="V53" s="1244"/>
      <c r="W53" s="1244"/>
      <c r="X53" s="1244"/>
      <c r="Y53" s="1244"/>
      <c r="Z53" s="1244"/>
      <c r="AA53" s="1244"/>
      <c r="AB53" s="1244"/>
      <c r="AC53" s="1244"/>
      <c r="AD53" s="1244"/>
      <c r="AE53" s="1244"/>
      <c r="AF53" s="1244"/>
      <c r="AG53" s="1244"/>
      <c r="AH53" s="1244"/>
      <c r="AI53" s="1244"/>
      <c r="AJ53" s="1244"/>
      <c r="AK53" s="1244"/>
      <c r="AM53" s="702"/>
      <c r="AN53" s="702" t="str">
        <f t="shared" si="1"/>
        <v>Добавить наименование тарифа</v>
      </c>
      <c r="AO53" s="702"/>
      <c r="AP53" s="702"/>
    </row>
    <row r="54" spans="1:42" ht="11.25" hidden="1" customHeight="1">
      <c r="M54" s="1062"/>
      <c r="N54" s="1062"/>
      <c r="O54" s="462"/>
      <c r="P54" s="1057"/>
      <c r="Q54" s="1057"/>
      <c r="R54" s="1057"/>
      <c r="S54" s="1057"/>
      <c r="AL54" s="1057"/>
      <c r="AM54" s="1057"/>
      <c r="AN54" s="1057"/>
      <c r="AO54" s="1057"/>
      <c r="AP54" s="1057"/>
    </row>
    <row r="55" spans="1:42" ht="14.25" hidden="1" customHeight="1">
      <c r="O55" s="462"/>
      <c r="S55" s="1166" t="s">
        <v>508</v>
      </c>
      <c r="T55" s="2075" t="s">
        <v>1691</v>
      </c>
      <c r="U55" s="2075"/>
      <c r="V55" s="2075"/>
      <c r="W55" s="2075"/>
      <c r="X55" s="2075"/>
      <c r="Y55" s="2075"/>
      <c r="Z55" s="2075"/>
      <c r="AA55" s="2075"/>
      <c r="AB55" s="2075"/>
      <c r="AC55" s="2075"/>
      <c r="AD55" s="2075"/>
      <c r="AE55" s="2075"/>
      <c r="AF55" s="2075"/>
      <c r="AG55" s="2075"/>
      <c r="AH55" s="2075"/>
      <c r="AI55" s="2075"/>
      <c r="AJ55" s="2075"/>
      <c r="AK55" s="2075"/>
    </row>
    <row r="56" spans="1:42" ht="14.25" hidden="1" customHeight="1">
      <c r="O56" s="462"/>
    </row>
    <row r="57" spans="1:42" ht="14.25" hidden="1" customHeight="1">
      <c r="O57" s="462"/>
      <c r="S57" s="1166" t="s">
        <v>508</v>
      </c>
      <c r="T57" s="2075" t="s">
        <v>1692</v>
      </c>
      <c r="U57" s="2075"/>
      <c r="V57" s="2075"/>
      <c r="W57" s="2075"/>
      <c r="X57" s="2075"/>
      <c r="Y57" s="2075"/>
      <c r="Z57" s="2075"/>
      <c r="AA57" s="2075"/>
      <c r="AB57" s="2075"/>
      <c r="AC57" s="2075"/>
      <c r="AD57" s="2075"/>
      <c r="AE57" s="2075"/>
      <c r="AF57" s="2075"/>
      <c r="AG57" s="2075"/>
      <c r="AH57" s="2075"/>
      <c r="AI57" s="2075"/>
      <c r="AJ57" s="2075"/>
      <c r="AK57" s="2075"/>
    </row>
  </sheetData>
  <sheetProtection formatColumns="0" formatRows="0" insertRows="0" deleteColumns="0" deleteRows="0" sort="0" autoFilter="0"/>
  <mergeCells count="101">
    <mergeCell ref="T55:AK55"/>
    <mergeCell ref="T57:AK57"/>
    <mergeCell ref="V35:AB35"/>
    <mergeCell ref="S32:T32"/>
    <mergeCell ref="V32:AA32"/>
    <mergeCell ref="AC32:AH32"/>
    <mergeCell ref="S33:T33"/>
    <mergeCell ref="V33:AA33"/>
    <mergeCell ref="AC33:AH33"/>
    <mergeCell ref="AC35:AI35"/>
    <mergeCell ref="Z40:AA40"/>
    <mergeCell ref="AG40:AH40"/>
    <mergeCell ref="S36:AJ36"/>
    <mergeCell ref="AK36:AK39"/>
    <mergeCell ref="S37:S39"/>
    <mergeCell ref="T37:T39"/>
    <mergeCell ref="V37:AA37"/>
    <mergeCell ref="AB37:AB39"/>
    <mergeCell ref="AG46:AG47"/>
    <mergeCell ref="AH46:AH47"/>
    <mergeCell ref="AI46:AI47"/>
    <mergeCell ref="AJ37:AJ39"/>
    <mergeCell ref="AC37:AH37"/>
    <mergeCell ref="W38:X38"/>
    <mergeCell ref="S29:T29"/>
    <mergeCell ref="F3:F12"/>
    <mergeCell ref="V3:AB3"/>
    <mergeCell ref="AC3:AJ3"/>
    <mergeCell ref="G4:G11"/>
    <mergeCell ref="V4:AB4"/>
    <mergeCell ref="AC4:AJ4"/>
    <mergeCell ref="H5:H11"/>
    <mergeCell ref="I5:I10"/>
    <mergeCell ref="P5:P10"/>
    <mergeCell ref="V5:AB5"/>
    <mergeCell ref="AC5:AJ5"/>
    <mergeCell ref="J6:J9"/>
    <mergeCell ref="Q6:Q9"/>
    <mergeCell ref="K7:K8"/>
    <mergeCell ref="Y7:Y8"/>
    <mergeCell ref="V6:AB6"/>
    <mergeCell ref="AC6:AJ6"/>
    <mergeCell ref="AC28:AH28"/>
    <mergeCell ref="Z7:Z8"/>
    <mergeCell ref="AA7:AA8"/>
    <mergeCell ref="AB7:AB8"/>
    <mergeCell ref="AF7:AF8"/>
    <mergeCell ref="AK7:AK8"/>
    <mergeCell ref="AF15:AF16"/>
    <mergeCell ref="AG15:AG16"/>
    <mergeCell ref="AH15:AH16"/>
    <mergeCell ref="AI15:AI16"/>
    <mergeCell ref="Z46:Z47"/>
    <mergeCell ref="AC45:AJ45"/>
    <mergeCell ref="AA46:AA47"/>
    <mergeCell ref="AB46:AB47"/>
    <mergeCell ref="AF46:AF47"/>
    <mergeCell ref="AK46:AK47"/>
    <mergeCell ref="E2:E13"/>
    <mergeCell ref="V2:AB2"/>
    <mergeCell ref="AC2:AJ2"/>
    <mergeCell ref="AI37:AI39"/>
    <mergeCell ref="V29:AA29"/>
    <mergeCell ref="AC29:AH29"/>
    <mergeCell ref="V30:AA30"/>
    <mergeCell ref="AC30:AH30"/>
    <mergeCell ref="Z39:AA39"/>
    <mergeCell ref="AG39:AH39"/>
    <mergeCell ref="AI7:AI8"/>
    <mergeCell ref="S30:T30"/>
    <mergeCell ref="S24:AH24"/>
    <mergeCell ref="S25:AH25"/>
    <mergeCell ref="S27:T27"/>
    <mergeCell ref="V27:AA27"/>
    <mergeCell ref="AC27:AH27"/>
    <mergeCell ref="S28:T28"/>
    <mergeCell ref="V28:AA28"/>
    <mergeCell ref="Y38:AA38"/>
    <mergeCell ref="AD38:AE38"/>
    <mergeCell ref="AF38:AH38"/>
    <mergeCell ref="AG7:AG8"/>
    <mergeCell ref="AH7:AH8"/>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K46:K47"/>
    <mergeCell ref="Y46:Y47"/>
  </mergeCells>
  <dataValidations count="8">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AP57"/>
  <sheetViews>
    <sheetView showGridLines="0" topLeftCell="P23" zoomScale="90" workbookViewId="0"/>
  </sheetViews>
  <sheetFormatPr defaultColWidth="10.5703125" defaultRowHeight="14.25" customHeight="1"/>
  <cols>
    <col min="1" max="1" width="10.5703125" style="1284" hidden="1"/>
    <col min="2" max="2" width="11" style="1284" hidden="1" customWidth="1"/>
    <col min="3" max="3" width="10.5703125" style="1284" hidden="1"/>
    <col min="4" max="4" width="11.85546875" style="1284" hidden="1" customWidth="1"/>
    <col min="5" max="5" width="10" style="1284" hidden="1" customWidth="1"/>
    <col min="6" max="6" width="8.7109375" style="1284" hidden="1" customWidth="1"/>
    <col min="7" max="7" width="7.5703125" style="1284" hidden="1" customWidth="1"/>
    <col min="8" max="8" width="11.42578125" style="1284" hidden="1" customWidth="1"/>
    <col min="9" max="9" width="14.140625" style="1284" hidden="1" customWidth="1"/>
    <col min="10" max="10" width="9.85546875" style="1284" hidden="1" customWidth="1"/>
    <col min="11" max="11" width="14.7109375" style="1284" hidden="1" customWidth="1"/>
    <col min="12" max="12" width="19.140625" style="1799" hidden="1" customWidth="1"/>
    <col min="13" max="14" width="12.28515625" style="1696" hidden="1" customWidth="1"/>
    <col min="15" max="15" width="23.42578125" style="1696" hidden="1" customWidth="1"/>
    <col min="16" max="16" width="3.7109375" style="1803" customWidth="1"/>
    <col min="17" max="18" width="3.7109375" style="265" customWidth="1"/>
    <col min="19" max="19" width="12.7109375" style="1806" customWidth="1"/>
    <col min="20" max="20" width="35.7109375" style="1552" customWidth="1"/>
    <col min="21" max="21" width="0.140625" style="1552" customWidth="1"/>
    <col min="22" max="24" width="24.7109375" style="1552" hidden="1" customWidth="1"/>
    <col min="25" max="25" width="11.7109375" style="1552" hidden="1" customWidth="1"/>
    <col min="26" max="26" width="3.7109375" style="1552" hidden="1" customWidth="1"/>
    <col min="27" max="27" width="11.7109375" style="1552" hidden="1" customWidth="1"/>
    <col min="28" max="28" width="8.5703125" style="1552" hidden="1" customWidth="1"/>
    <col min="29" max="31" width="24.7109375" style="1552" customWidth="1"/>
    <col min="32" max="32" width="11.7109375" style="1552" customWidth="1"/>
    <col min="33" max="33" width="3.7109375" style="1552" customWidth="1"/>
    <col min="34" max="34" width="11.7109375" style="1552" customWidth="1"/>
    <col min="35" max="35" width="8.5703125" style="1552" hidden="1" customWidth="1"/>
    <col min="36" max="36" width="4.7109375" style="1552" customWidth="1"/>
    <col min="37" max="37" width="115.7109375" style="1552" customWidth="1"/>
    <col min="38" max="39" width="10.5703125" style="1559"/>
    <col min="40" max="40" width="11.140625" style="1559" customWidth="1"/>
    <col min="41" max="42" width="10.5703125" style="1559"/>
  </cols>
  <sheetData>
    <row r="1" spans="1:42" ht="14.25" hidden="1" customHeight="1">
      <c r="X1" s="249"/>
      <c r="Y1" s="249"/>
      <c r="AE1" s="249"/>
      <c r="AF1" s="249"/>
    </row>
    <row r="2" spans="1:42" ht="23.25" hidden="1" customHeight="1">
      <c r="A2" s="1281"/>
      <c r="B2" s="1281"/>
      <c r="C2" s="1281"/>
      <c r="D2" s="1281"/>
      <c r="E2" s="2076">
        <v>1</v>
      </c>
      <c r="F2" s="1281"/>
      <c r="G2" s="1281"/>
      <c r="H2" s="1281"/>
      <c r="I2" s="1281"/>
      <c r="J2" s="1281"/>
      <c r="K2" s="1281"/>
      <c r="L2" s="1282"/>
      <c r="M2" s="1283"/>
      <c r="N2" s="1283"/>
      <c r="O2" s="1283"/>
      <c r="P2" s="282"/>
      <c r="Q2" s="281"/>
      <c r="R2" s="276"/>
      <c r="S2" s="1372" t="e">
        <f>INDEX(PT_DIFFERENTIATION_NUM_NTAR,MATCH(A2,PT_DIFFERENTIATION_NTAR_ID,0))</f>
        <v>#N/A</v>
      </c>
      <c r="T2" s="212" t="s">
        <v>128</v>
      </c>
      <c r="U2" s="214"/>
      <c r="V2" s="2070"/>
      <c r="W2" s="2071"/>
      <c r="X2" s="2071"/>
      <c r="Y2" s="2071"/>
      <c r="Z2" s="2071"/>
      <c r="AA2" s="2071"/>
      <c r="AB2" s="2072"/>
      <c r="AC2" s="2070" t="e">
        <f>INDEX(PT_DIFFERENTIATION_NTAR,MATCH(A2,PT_DIFFERENTIATION_NTAR_ID,0))</f>
        <v>#N/A</v>
      </c>
      <c r="AD2" s="2071"/>
      <c r="AE2" s="2071"/>
      <c r="AF2" s="2071"/>
      <c r="AG2" s="2071"/>
      <c r="AH2" s="2071"/>
      <c r="AI2" s="2071"/>
      <c r="AJ2" s="2072"/>
      <c r="AK2" s="117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426"/>
      <c r="AN2" s="426" t="str">
        <f t="shared" ref="AN2:AN13" si="0">IF(T2="","",T2)</f>
        <v>Наименование тарифа</v>
      </c>
      <c r="AO2" s="426"/>
      <c r="AP2" s="426"/>
    </row>
    <row r="3" spans="1:42" ht="23.25" hidden="1" customHeight="1">
      <c r="A3" s="1281"/>
      <c r="B3" s="1281"/>
      <c r="C3" s="1281"/>
      <c r="D3" s="1281"/>
      <c r="E3" s="2077"/>
      <c r="F3" s="2076">
        <v>1</v>
      </c>
      <c r="G3" s="1281"/>
      <c r="H3" s="1281"/>
      <c r="I3" s="1281"/>
      <c r="J3" s="1281"/>
      <c r="K3" s="1281"/>
      <c r="L3" s="1282"/>
      <c r="M3" s="1283"/>
      <c r="N3" s="1283"/>
      <c r="O3" s="1283"/>
      <c r="P3" s="1368"/>
      <c r="Q3" s="273"/>
      <c r="R3" s="274"/>
      <c r="S3" s="1372" t="e">
        <f>INDEX(PT_DIFFERENTIATION_NUM_TER,MATCH(B3,PT_DIFFERENTIATION_TER_ID,0))</f>
        <v>#N/A</v>
      </c>
      <c r="T3" s="224" t="s">
        <v>460</v>
      </c>
      <c r="U3" s="214"/>
      <c r="V3" s="2070"/>
      <c r="W3" s="2071"/>
      <c r="X3" s="2071"/>
      <c r="Y3" s="2071"/>
      <c r="Z3" s="2071"/>
      <c r="AA3" s="2071"/>
      <c r="AB3" s="2072"/>
      <c r="AC3" s="2070" t="e">
        <f>INDEX(PT_DIFFERENTIATION_TER,MATCH(B3,PT_DIFFERENTIATION_TER_ID,0))</f>
        <v>#N/A</v>
      </c>
      <c r="AD3" s="2071"/>
      <c r="AE3" s="2071"/>
      <c r="AF3" s="2071"/>
      <c r="AG3" s="2071"/>
      <c r="AH3" s="2071"/>
      <c r="AI3" s="2071"/>
      <c r="AJ3" s="2072"/>
      <c r="AK3" s="1179" t="s">
        <v>461</v>
      </c>
      <c r="AM3" s="426"/>
      <c r="AN3" s="426" t="str">
        <f t="shared" si="0"/>
        <v>Территория действия тарифа</v>
      </c>
      <c r="AO3" s="426"/>
      <c r="AP3" s="426"/>
    </row>
    <row r="4" spans="1:42" ht="23.25" hidden="1" customHeight="1">
      <c r="A4" s="1281"/>
      <c r="B4" s="1281"/>
      <c r="C4" s="1281"/>
      <c r="D4" s="1281"/>
      <c r="E4" s="2077"/>
      <c r="F4" s="2077"/>
      <c r="G4" s="2076">
        <v>1</v>
      </c>
      <c r="H4" s="1281"/>
      <c r="I4" s="1281"/>
      <c r="J4" s="1281"/>
      <c r="K4" s="1281"/>
      <c r="L4" s="1282"/>
      <c r="M4" s="1283"/>
      <c r="N4" s="1283"/>
      <c r="O4" s="1283"/>
      <c r="P4" s="275"/>
      <c r="Q4" s="273"/>
      <c r="R4" s="274"/>
      <c r="S4" s="1372" t="e">
        <f>INDEX(PT_DIFFERENTIATION_NUM_CS,MATCH(C4,PT_DIFFERENTIATION_CS_ID,0))</f>
        <v>#N/A</v>
      </c>
      <c r="T4" s="225" t="s">
        <v>1676</v>
      </c>
      <c r="U4" s="214"/>
      <c r="V4" s="2070"/>
      <c r="W4" s="2071"/>
      <c r="X4" s="2071"/>
      <c r="Y4" s="2071"/>
      <c r="Z4" s="2071"/>
      <c r="AA4" s="2071"/>
      <c r="AB4" s="2072"/>
      <c r="AC4" s="2070" t="e">
        <f>INDEX(PT_DIFFERENTIATION_CS,MATCH(C4,PT_DIFFERENTIATION_CS_ID,0))</f>
        <v>#N/A</v>
      </c>
      <c r="AD4" s="2071"/>
      <c r="AE4" s="2071"/>
      <c r="AF4" s="2071"/>
      <c r="AG4" s="2071"/>
      <c r="AH4" s="2071"/>
      <c r="AI4" s="2071"/>
      <c r="AJ4" s="2072"/>
      <c r="AK4" s="1179" t="s">
        <v>1677</v>
      </c>
      <c r="AM4" s="426"/>
      <c r="AN4" s="426" t="str">
        <f t="shared" si="0"/>
        <v>Наименование централизованной системы холодного водоснабжения</v>
      </c>
      <c r="AO4" s="426"/>
      <c r="AP4" s="426"/>
    </row>
    <row r="5" spans="1:42" ht="23.25" hidden="1" customHeight="1">
      <c r="A5" s="1281"/>
      <c r="B5" s="1281"/>
      <c r="C5" s="1281"/>
      <c r="D5" s="1281"/>
      <c r="E5" s="2077"/>
      <c r="F5" s="2077"/>
      <c r="G5" s="2077"/>
      <c r="H5" s="2077"/>
      <c r="I5" s="2078" t="e">
        <f>S4&amp;".1"</f>
        <v>#N/A</v>
      </c>
      <c r="J5" s="1281"/>
      <c r="K5" s="1281"/>
      <c r="L5" s="1282"/>
      <c r="P5" s="1995">
        <v>1</v>
      </c>
      <c r="Q5" s="1365"/>
      <c r="R5" s="277"/>
      <c r="S5" s="1372" t="e">
        <f>$I5</f>
        <v>#N/A</v>
      </c>
      <c r="T5" s="200" t="s">
        <v>1678</v>
      </c>
      <c r="U5" s="214"/>
      <c r="V5" s="2176"/>
      <c r="W5" s="2177"/>
      <c r="X5" s="2177"/>
      <c r="Y5" s="2177"/>
      <c r="Z5" s="2177"/>
      <c r="AA5" s="2177"/>
      <c r="AB5" s="2178"/>
      <c r="AC5" s="2179"/>
      <c r="AD5" s="2180"/>
      <c r="AE5" s="2180"/>
      <c r="AF5" s="2180"/>
      <c r="AG5" s="2180"/>
      <c r="AH5" s="2180"/>
      <c r="AI5" s="2180"/>
      <c r="AJ5" s="2181"/>
      <c r="AK5" s="1179" t="s">
        <v>1679</v>
      </c>
      <c r="AM5" s="426"/>
      <c r="AN5" s="426" t="str">
        <f t="shared" si="0"/>
        <v>Наименование признака дифференциации</v>
      </c>
      <c r="AO5" s="426"/>
      <c r="AP5" s="426"/>
    </row>
    <row r="6" spans="1:42" ht="23.25" hidden="1" customHeight="1">
      <c r="A6" s="1281"/>
      <c r="B6" s="1281"/>
      <c r="C6" s="1281"/>
      <c r="D6" s="1281"/>
      <c r="E6" s="2077"/>
      <c r="F6" s="2077"/>
      <c r="G6" s="2077"/>
      <c r="H6" s="2077"/>
      <c r="I6" s="2079"/>
      <c r="J6" s="2078" t="e">
        <f>I5&amp;".1"</f>
        <v>#N/A</v>
      </c>
      <c r="K6" s="1281"/>
      <c r="L6" s="1282" t="s">
        <v>469</v>
      </c>
      <c r="P6" s="1995"/>
      <c r="Q6" s="1995">
        <v>1</v>
      </c>
      <c r="R6" s="278"/>
      <c r="S6" s="1372" t="e">
        <f>$J6</f>
        <v>#N/A</v>
      </c>
      <c r="T6" s="201" t="s">
        <v>470</v>
      </c>
      <c r="U6" s="214"/>
      <c r="V6" s="2064"/>
      <c r="W6" s="2065"/>
      <c r="X6" s="2065"/>
      <c r="Y6" s="2065"/>
      <c r="Z6" s="2065"/>
      <c r="AA6" s="2065"/>
      <c r="AB6" s="2066"/>
      <c r="AC6" s="2064"/>
      <c r="AD6" s="2065"/>
      <c r="AE6" s="2065"/>
      <c r="AF6" s="2065"/>
      <c r="AG6" s="2065"/>
      <c r="AH6" s="2065"/>
      <c r="AI6" s="2065"/>
      <c r="AJ6" s="2066"/>
      <c r="AK6" s="1228" t="s">
        <v>1680</v>
      </c>
      <c r="AM6" s="426"/>
      <c r="AN6" s="426" t="str">
        <f t="shared" si="0"/>
        <v>Группа потребителей</v>
      </c>
      <c r="AO6" s="426"/>
      <c r="AP6" s="426"/>
    </row>
    <row r="7" spans="1:42" ht="23.25" hidden="1" customHeight="1">
      <c r="A7" s="1281"/>
      <c r="B7" s="1281"/>
      <c r="C7" s="1281"/>
      <c r="D7" s="1281"/>
      <c r="E7" s="2077"/>
      <c r="F7" s="2077"/>
      <c r="G7" s="2077"/>
      <c r="H7" s="2077"/>
      <c r="I7" s="2079"/>
      <c r="J7" s="2079"/>
      <c r="K7" s="2078" t="e">
        <f>J6&amp;".1"</f>
        <v>#N/A</v>
      </c>
      <c r="L7" s="1282"/>
      <c r="P7" s="1995"/>
      <c r="Q7" s="1995"/>
      <c r="R7" s="278">
        <v>1</v>
      </c>
      <c r="S7" s="1372" t="e">
        <f>$K7</f>
        <v>#N/A</v>
      </c>
      <c r="T7" s="1354"/>
      <c r="U7" s="214"/>
      <c r="V7" s="664"/>
      <c r="W7" s="664"/>
      <c r="X7" s="1178"/>
      <c r="Y7" s="2080"/>
      <c r="Z7" s="1885" t="s">
        <v>59</v>
      </c>
      <c r="AA7" s="2080"/>
      <c r="AB7" s="1885" t="s">
        <v>59</v>
      </c>
      <c r="AC7" s="664"/>
      <c r="AD7" s="664"/>
      <c r="AE7" s="1178"/>
      <c r="AF7" s="2080"/>
      <c r="AG7" s="1885" t="s">
        <v>59</v>
      </c>
      <c r="AH7" s="2082"/>
      <c r="AI7" s="1885" t="s">
        <v>59</v>
      </c>
      <c r="AJ7" s="1355"/>
      <c r="AK7" s="2182"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437" t="e">
        <f ca="1">STRCHECKDATE(V8:AJ8)</f>
        <v>#NAME?</v>
      </c>
      <c r="AM7" s="426"/>
      <c r="AN7" s="426" t="str">
        <f t="shared" si="0"/>
        <v/>
      </c>
      <c r="AO7" s="426"/>
      <c r="AP7" s="426"/>
    </row>
    <row r="8" spans="1:42" ht="14.25" hidden="1" customHeight="1">
      <c r="A8" s="1281"/>
      <c r="B8" s="1281"/>
      <c r="C8" s="1281"/>
      <c r="D8" s="1281"/>
      <c r="E8" s="2077"/>
      <c r="F8" s="2077"/>
      <c r="G8" s="2077"/>
      <c r="H8" s="2077"/>
      <c r="I8" s="2079"/>
      <c r="J8" s="2079"/>
      <c r="K8" s="2078"/>
      <c r="L8" s="1282"/>
      <c r="P8" s="1995"/>
      <c r="Q8" s="1995"/>
      <c r="R8" s="278"/>
      <c r="S8" s="1371"/>
      <c r="T8" s="214"/>
      <c r="U8" s="214"/>
      <c r="V8" s="246"/>
      <c r="W8" s="246"/>
      <c r="X8" s="250" t="str">
        <f>Y7&amp;"-"&amp;AA7</f>
        <v>-</v>
      </c>
      <c r="Y8" s="2081"/>
      <c r="Z8" s="1885"/>
      <c r="AA8" s="2081"/>
      <c r="AB8" s="1885"/>
      <c r="AC8" s="246"/>
      <c r="AD8" s="246"/>
      <c r="AE8" s="250" t="str">
        <f>AF7&amp;"-"&amp;AH7</f>
        <v>-</v>
      </c>
      <c r="AF8" s="2081"/>
      <c r="AG8" s="1885"/>
      <c r="AH8" s="2083"/>
      <c r="AI8" s="1885"/>
      <c r="AJ8" s="1356"/>
      <c r="AK8" s="2182"/>
      <c r="AM8" s="426"/>
      <c r="AN8" s="426" t="str">
        <f t="shared" si="0"/>
        <v/>
      </c>
      <c r="AO8" s="426"/>
      <c r="AP8" s="426"/>
    </row>
    <row r="9" spans="1:42" ht="21" hidden="1" customHeight="1">
      <c r="A9" s="1281"/>
      <c r="B9" s="1281"/>
      <c r="C9" s="1281"/>
      <c r="D9" s="1281"/>
      <c r="E9" s="2077"/>
      <c r="F9" s="2077"/>
      <c r="G9" s="2077"/>
      <c r="H9" s="2077"/>
      <c r="I9" s="2079"/>
      <c r="J9" s="2078"/>
      <c r="K9" s="1281"/>
      <c r="L9" s="1282"/>
      <c r="P9" s="1995"/>
      <c r="Q9" s="1995"/>
      <c r="R9" s="277"/>
      <c r="S9" s="1200"/>
      <c r="T9" s="202" t="s">
        <v>1681</v>
      </c>
      <c r="U9" s="291"/>
      <c r="V9" s="291"/>
      <c r="W9" s="291"/>
      <c r="X9" s="291"/>
      <c r="Y9" s="291"/>
      <c r="Z9" s="291"/>
      <c r="AA9" s="291"/>
      <c r="AB9" s="291"/>
      <c r="AC9" s="291"/>
      <c r="AD9" s="291"/>
      <c r="AE9" s="291"/>
      <c r="AF9" s="291"/>
      <c r="AG9" s="291"/>
      <c r="AH9" s="291"/>
      <c r="AI9" s="291"/>
      <c r="AJ9" s="291"/>
      <c r="AK9" s="1179" t="s">
        <v>1682</v>
      </c>
      <c r="AM9" s="426"/>
      <c r="AN9" s="426" t="str">
        <f t="shared" si="0"/>
        <v>Добавить значение признака дифференциации</v>
      </c>
      <c r="AO9" s="426"/>
      <c r="AP9" s="426"/>
    </row>
    <row r="10" spans="1:42" ht="21" hidden="1" customHeight="1">
      <c r="A10" s="1281"/>
      <c r="B10" s="1281"/>
      <c r="C10" s="1281"/>
      <c r="D10" s="1281"/>
      <c r="E10" s="2077"/>
      <c r="F10" s="2077"/>
      <c r="G10" s="2077"/>
      <c r="H10" s="2077"/>
      <c r="I10" s="2078"/>
      <c r="J10" s="1281"/>
      <c r="K10" s="1281"/>
      <c r="L10" s="1282"/>
      <c r="P10" s="1995"/>
      <c r="Q10" s="1365"/>
      <c r="R10" s="277"/>
      <c r="S10" s="1200"/>
      <c r="T10" s="288" t="s">
        <v>475</v>
      </c>
      <c r="U10" s="291"/>
      <c r="V10" s="291"/>
      <c r="W10" s="291"/>
      <c r="X10" s="291"/>
      <c r="Y10" s="291"/>
      <c r="Z10" s="291"/>
      <c r="AA10" s="291"/>
      <c r="AB10" s="290"/>
      <c r="AC10" s="291"/>
      <c r="AD10" s="291"/>
      <c r="AE10" s="291"/>
      <c r="AF10" s="291"/>
      <c r="AG10" s="291"/>
      <c r="AH10" s="291"/>
      <c r="AI10" s="290"/>
      <c r="AJ10" s="291"/>
      <c r="AK10" s="1357"/>
      <c r="AM10" s="426"/>
      <c r="AN10" s="426" t="str">
        <f t="shared" si="0"/>
        <v>Добавить группу потребителей</v>
      </c>
      <c r="AO10" s="426"/>
      <c r="AP10" s="426"/>
    </row>
    <row r="11" spans="1:42" ht="21" hidden="1" customHeight="1">
      <c r="A11" s="1281"/>
      <c r="B11" s="1281"/>
      <c r="C11" s="1281"/>
      <c r="D11" s="1281"/>
      <c r="E11" s="2077"/>
      <c r="F11" s="2077"/>
      <c r="G11" s="2077"/>
      <c r="H11" s="2076"/>
      <c r="I11" s="1281"/>
      <c r="J11" s="1281"/>
      <c r="K11" s="1281"/>
      <c r="L11" s="1282"/>
      <c r="M11" s="1283"/>
      <c r="N11" s="1283"/>
      <c r="O11" s="462"/>
      <c r="P11" s="281"/>
      <c r="Q11" s="299"/>
      <c r="R11" s="276"/>
      <c r="S11" s="1200"/>
      <c r="T11" s="296" t="s">
        <v>1683</v>
      </c>
      <c r="U11" s="291"/>
      <c r="V11" s="291"/>
      <c r="W11" s="291"/>
      <c r="X11" s="291"/>
      <c r="Y11" s="291"/>
      <c r="Z11" s="291"/>
      <c r="AA11" s="291"/>
      <c r="AB11" s="290"/>
      <c r="AC11" s="291"/>
      <c r="AD11" s="291"/>
      <c r="AE11" s="291"/>
      <c r="AF11" s="291"/>
      <c r="AG11" s="291"/>
      <c r="AH11" s="291"/>
      <c r="AI11" s="290"/>
      <c r="AJ11" s="291"/>
      <c r="AK11" s="217"/>
      <c r="AM11" s="426"/>
      <c r="AN11" s="426" t="str">
        <f t="shared" si="0"/>
        <v>Добавить наименование признака дифференциации</v>
      </c>
      <c r="AO11" s="426"/>
      <c r="AP11" s="426"/>
    </row>
    <row r="12" spans="1:42" s="1559" customFormat="1" ht="14.25" hidden="1" customHeight="1">
      <c r="A12" s="1262"/>
      <c r="B12" s="1262"/>
      <c r="C12" s="1234"/>
      <c r="D12" s="1234"/>
      <c r="E12" s="2077"/>
      <c r="F12" s="2076"/>
      <c r="G12" s="1234"/>
      <c r="H12" s="1234"/>
      <c r="I12" s="1234"/>
      <c r="J12" s="1234"/>
      <c r="K12" s="1234"/>
      <c r="L12" s="1373"/>
      <c r="M12" s="1241"/>
      <c r="N12" s="1241"/>
      <c r="P12" s="1236"/>
      <c r="Q12" s="1237"/>
      <c r="R12" s="1236"/>
      <c r="S12" s="1242"/>
      <c r="T12" s="1245" t="s">
        <v>434</v>
      </c>
      <c r="U12" s="1244"/>
      <c r="V12" s="1244"/>
      <c r="W12" s="1244"/>
      <c r="X12" s="1244"/>
      <c r="Y12" s="1244"/>
      <c r="Z12" s="1244"/>
      <c r="AA12" s="1244"/>
      <c r="AB12" s="1244"/>
      <c r="AC12" s="1244"/>
      <c r="AD12" s="1244"/>
      <c r="AE12" s="1244"/>
      <c r="AF12" s="1244"/>
      <c r="AG12" s="1244"/>
      <c r="AH12" s="1244"/>
      <c r="AI12" s="1244"/>
      <c r="AJ12" s="1244"/>
      <c r="AK12" s="1244"/>
      <c r="AM12" s="702"/>
      <c r="AN12" s="702" t="str">
        <f t="shared" si="0"/>
        <v>Добавить централизованную систему для дифференциации</v>
      </c>
      <c r="AO12" s="702"/>
      <c r="AP12" s="702"/>
    </row>
    <row r="13" spans="1:42" s="1559" customFormat="1" ht="14.25" hidden="1" customHeight="1">
      <c r="A13" s="1262"/>
      <c r="B13" s="1262"/>
      <c r="C13" s="1262"/>
      <c r="D13" s="1262"/>
      <c r="E13" s="2076"/>
      <c r="F13" s="1262"/>
      <c r="G13" s="1262"/>
      <c r="H13" s="1262"/>
      <c r="I13" s="1262"/>
      <c r="J13" s="1262"/>
      <c r="K13" s="1262"/>
      <c r="L13" s="1265"/>
      <c r="M13" s="1241"/>
      <c r="N13" s="1241"/>
      <c r="O13" s="444"/>
      <c r="P13" s="308"/>
      <c r="Q13" s="1263"/>
      <c r="R13" s="308"/>
      <c r="S13" s="1242"/>
      <c r="T13" s="1245" t="s">
        <v>435</v>
      </c>
      <c r="U13" s="1244"/>
      <c r="V13" s="1244"/>
      <c r="W13" s="1244"/>
      <c r="X13" s="1244"/>
      <c r="Y13" s="1244"/>
      <c r="Z13" s="1244"/>
      <c r="AA13" s="1244"/>
      <c r="AB13" s="1244"/>
      <c r="AC13" s="1244"/>
      <c r="AD13" s="1244"/>
      <c r="AE13" s="1244"/>
      <c r="AF13" s="1244"/>
      <c r="AG13" s="1244"/>
      <c r="AH13" s="1244"/>
      <c r="AI13" s="1244"/>
      <c r="AJ13" s="1244"/>
      <c r="AK13" s="1244"/>
      <c r="AM13" s="426"/>
      <c r="AN13" s="426" t="str">
        <f t="shared" si="0"/>
        <v>Добавить территорию для дифференциации</v>
      </c>
      <c r="AO13" s="426"/>
      <c r="AP13" s="426"/>
    </row>
    <row r="14" spans="1:42" ht="14.25" hidden="1" customHeight="1">
      <c r="AB14" s="249"/>
      <c r="AI14" s="249"/>
    </row>
    <row r="15" spans="1:42" ht="14.25" hidden="1" customHeight="1">
      <c r="AC15" s="1278"/>
      <c r="AD15" s="1278"/>
      <c r="AE15" s="1279"/>
      <c r="AF15" s="2074"/>
      <c r="AG15" s="2073" t="s">
        <v>59</v>
      </c>
      <c r="AH15" s="2074"/>
      <c r="AI15" s="2073" t="s">
        <v>59</v>
      </c>
    </row>
    <row r="16" spans="1:42" ht="14.25" hidden="1" customHeight="1">
      <c r="AC16" s="1278"/>
      <c r="AD16" s="1278"/>
      <c r="AE16" s="250" t="str">
        <f>AF15&amp;"-"&amp;AH15</f>
        <v>-</v>
      </c>
      <c r="AF16" s="2073"/>
      <c r="AG16" s="2073"/>
      <c r="AH16" s="2073"/>
      <c r="AI16" s="2073"/>
    </row>
    <row r="17" spans="1:42" ht="14.25" hidden="1" customHeight="1">
      <c r="AI17" s="249"/>
    </row>
    <row r="18" spans="1:42" s="1284" customFormat="1" ht="22.5" hidden="1" customHeight="1">
      <c r="L18" s="1362"/>
      <c r="M18" s="1280"/>
      <c r="N18" s="1280"/>
      <c r="O18" s="1285" t="s">
        <v>477</v>
      </c>
      <c r="P18" s="1280"/>
      <c r="Q18" s="1289"/>
      <c r="R18" s="1289"/>
      <c r="S18" s="645"/>
      <c r="Y18" s="1285"/>
      <c r="AA18" s="1285"/>
      <c r="AF18" s="1285"/>
      <c r="AH18" s="1285"/>
      <c r="AL18" s="437"/>
      <c r="AM18" s="437"/>
      <c r="AN18" s="437"/>
      <c r="AO18" s="437"/>
      <c r="AP18" s="437"/>
    </row>
    <row r="19" spans="1:42" s="1284" customFormat="1" ht="14.25" hidden="1" customHeight="1">
      <c r="L19" s="1362"/>
      <c r="M19" s="1280"/>
      <c r="N19" s="1280"/>
      <c r="O19" s="1280"/>
      <c r="P19" s="1280"/>
      <c r="Q19" s="1289"/>
      <c r="R19" s="1289"/>
      <c r="S19" s="645"/>
      <c r="AL19" s="437"/>
      <c r="AM19" s="437"/>
      <c r="AN19" s="437"/>
      <c r="AO19" s="437"/>
      <c r="AP19" s="437"/>
    </row>
    <row r="20" spans="1:42" s="1284" customFormat="1" ht="12" hidden="1" customHeight="1">
      <c r="L20" s="1362"/>
      <c r="M20" s="1280"/>
      <c r="N20" s="1280"/>
      <c r="O20" s="1282" t="s">
        <v>478</v>
      </c>
      <c r="P20" s="1280"/>
      <c r="Q20" s="1358"/>
      <c r="R20" s="1358"/>
      <c r="S20" s="645"/>
      <c r="T20" s="1062" t="s">
        <v>479</v>
      </c>
      <c r="Z20" s="104" t="s">
        <v>480</v>
      </c>
      <c r="AB20" s="104" t="s">
        <v>481</v>
      </c>
      <c r="AC20" s="1062" t="s">
        <v>479</v>
      </c>
      <c r="AG20" s="104" t="s">
        <v>482</v>
      </c>
      <c r="AI20" s="104" t="s">
        <v>481</v>
      </c>
    </row>
    <row r="21" spans="1:42" ht="14.25" hidden="1" customHeight="1">
      <c r="O21" s="1282"/>
    </row>
    <row r="22" spans="1:42" ht="14.25" hidden="1" customHeight="1">
      <c r="O22" s="1282"/>
    </row>
    <row r="23" spans="1:42" ht="14.25" customHeight="1">
      <c r="Q23" s="300"/>
      <c r="R23" s="300"/>
      <c r="S23" s="1197"/>
      <c r="T23" s="286"/>
      <c r="U23" s="286"/>
      <c r="V23" s="435"/>
      <c r="W23" s="435"/>
      <c r="X23" s="435"/>
      <c r="Y23" s="435"/>
      <c r="Z23" s="435"/>
      <c r="AA23" s="435"/>
      <c r="AB23" s="435"/>
      <c r="AC23" s="435"/>
      <c r="AD23" s="435"/>
      <c r="AE23" s="435"/>
      <c r="AF23" s="435"/>
      <c r="AG23" s="435"/>
      <c r="AH23" s="435"/>
      <c r="AI23" s="435"/>
    </row>
    <row r="24" spans="1:42" ht="32.25" customHeight="1">
      <c r="Q24" s="300"/>
      <c r="R24" s="300"/>
      <c r="S24" s="2101" t="str">
        <f>IF(TEMPLATE_GROUP="P",PT_P_FORM_COLDVSNA_4_NAME_FORM,PT_R_FORM_COLDVSNA_16_NAME_FORM)</f>
        <v>Форма 15. Информация о предложении расчетной величины тарифов организации холодного водоснабжения об установлении тарифов в сфере холодного водоснабжения на очередной период регулирования &lt;1&gt;</v>
      </c>
      <c r="T24" s="2101"/>
      <c r="U24" s="2101"/>
      <c r="V24" s="2101"/>
      <c r="W24" s="2101"/>
      <c r="X24" s="2101"/>
      <c r="Y24" s="2101"/>
      <c r="Z24" s="2101"/>
      <c r="AA24" s="2101"/>
      <c r="AB24" s="2101"/>
      <c r="AC24" s="2101"/>
      <c r="AD24" s="2101"/>
      <c r="AE24" s="2101"/>
      <c r="AF24" s="2101"/>
      <c r="AG24" s="2101"/>
      <c r="AH24" s="2101"/>
      <c r="AI24" s="1154"/>
    </row>
    <row r="25" spans="1:42" ht="14.25" customHeight="1">
      <c r="Q25" s="300"/>
      <c r="R25" s="300"/>
      <c r="S25" s="1961" t="str">
        <f>IF(org=0,"Не определено",org)</f>
        <v>АО СЗ "КМАпроектжилстрой"</v>
      </c>
      <c r="T25" s="1961"/>
      <c r="U25" s="1961"/>
      <c r="V25" s="1961"/>
      <c r="W25" s="1961"/>
      <c r="X25" s="1961"/>
      <c r="Y25" s="1961"/>
      <c r="Z25" s="1961"/>
      <c r="AA25" s="1961"/>
      <c r="AB25" s="1961"/>
      <c r="AC25" s="1961"/>
      <c r="AD25" s="1961"/>
      <c r="AE25" s="1961"/>
      <c r="AF25" s="1961"/>
      <c r="AG25" s="1961"/>
      <c r="AH25" s="1961"/>
      <c r="AI25" s="1154"/>
    </row>
    <row r="26" spans="1:42" ht="14.25" hidden="1" customHeight="1">
      <c r="Q26" s="300"/>
      <c r="R26" s="300"/>
      <c r="S26" s="1197"/>
      <c r="T26" s="286"/>
      <c r="U26" s="286"/>
      <c r="V26" s="242"/>
      <c r="W26" s="242"/>
      <c r="X26" s="242"/>
      <c r="Y26" s="242"/>
      <c r="Z26" s="242"/>
      <c r="AA26" s="242"/>
      <c r="AB26" s="242"/>
      <c r="AC26" s="242"/>
      <c r="AD26" s="242"/>
      <c r="AE26" s="242"/>
      <c r="AF26" s="242"/>
      <c r="AG26" s="242"/>
      <c r="AH26" s="242"/>
      <c r="AI26" s="242"/>
      <c r="AJ26" s="435"/>
    </row>
    <row r="27" spans="1:42" s="1773" customFormat="1" ht="25.5" hidden="1" customHeight="1">
      <c r="A27" s="1286"/>
      <c r="B27" s="1286"/>
      <c r="C27" s="1286"/>
      <c r="D27" s="1286"/>
      <c r="E27" s="1286"/>
      <c r="F27" s="1286"/>
      <c r="G27" s="1286"/>
      <c r="H27" s="1286"/>
      <c r="I27" s="1286"/>
      <c r="J27" s="1286"/>
      <c r="K27" s="1286"/>
      <c r="L27" s="1287"/>
      <c r="M27" s="1286"/>
      <c r="N27" s="1286"/>
      <c r="O27" s="1286"/>
      <c r="S27" s="2067" t="s">
        <v>40</v>
      </c>
      <c r="T27" s="2067"/>
      <c r="U27" s="1290"/>
      <c r="V27" s="2069" t="str">
        <f>IF(TITLE_NAME_OR_PR_CHANGE="",IF(TITLE_NAME_OR_PR="","",TITLE_NAME_OR_PR),TITLE_NAME_OR_PR_CHANGE)</f>
        <v/>
      </c>
      <c r="W27" s="2069"/>
      <c r="X27" s="2069"/>
      <c r="Y27" s="2069"/>
      <c r="Z27" s="2069"/>
      <c r="AA27" s="2069"/>
      <c r="AB27" s="248"/>
      <c r="AC27" s="2069" t="str">
        <f>IF(TITLE_NAME_OR_PR_CHANGE="",IF(TITLE_NAME_OR_PR="","",TITLE_NAME_OR_PR),TITLE_NAME_OR_PR_CHANGE)</f>
        <v/>
      </c>
      <c r="AD27" s="2069"/>
      <c r="AE27" s="2069"/>
      <c r="AF27" s="2069"/>
      <c r="AG27" s="2069"/>
      <c r="AH27" s="2069"/>
      <c r="AI27" s="248"/>
      <c r="AJ27" s="248"/>
      <c r="AK27" s="196"/>
      <c r="AL27" s="292"/>
      <c r="AM27" s="292"/>
      <c r="AN27" s="292"/>
      <c r="AO27" s="292"/>
      <c r="AP27" s="292"/>
    </row>
    <row r="28" spans="1:42" s="1773" customFormat="1" ht="18.75" hidden="1" customHeight="1">
      <c r="A28" s="1286"/>
      <c r="B28" s="1286"/>
      <c r="C28" s="1286"/>
      <c r="D28" s="1286"/>
      <c r="E28" s="1286"/>
      <c r="F28" s="1286"/>
      <c r="G28" s="1286"/>
      <c r="H28" s="1286"/>
      <c r="I28" s="1286"/>
      <c r="J28" s="1286"/>
      <c r="K28" s="1286"/>
      <c r="L28" s="1287"/>
      <c r="M28" s="1286"/>
      <c r="N28" s="1286"/>
      <c r="O28" s="1286"/>
      <c r="S28" s="2067" t="s">
        <v>483</v>
      </c>
      <c r="T28" s="2067"/>
      <c r="U28" s="1290"/>
      <c r="V28" s="2068" t="str">
        <f>IF(TITLE_DATE_CHANGE_PERIOD="",IF(TITLE_DATE_PR="","",TITLE_DATE_PR),TITLE_DATE_CHANGE_PERIOD)</f>
        <v/>
      </c>
      <c r="W28" s="2068"/>
      <c r="X28" s="2068"/>
      <c r="Y28" s="2068"/>
      <c r="Z28" s="2068"/>
      <c r="AA28" s="2068"/>
      <c r="AB28" s="248"/>
      <c r="AC28" s="2068" t="str">
        <f>IF(TITLE_DATE_CHANGE_PERIOD="",IF(TITLE_DATE_PR="","",TITLE_DATE_PR),TITLE_DATE_CHANGE_PERIOD)</f>
        <v/>
      </c>
      <c r="AD28" s="2068"/>
      <c r="AE28" s="2068"/>
      <c r="AF28" s="2068"/>
      <c r="AG28" s="2068"/>
      <c r="AH28" s="2068"/>
      <c r="AI28" s="248"/>
      <c r="AJ28" s="248"/>
      <c r="AK28" s="196"/>
      <c r="AL28" s="292"/>
      <c r="AM28" s="292"/>
      <c r="AN28" s="292"/>
      <c r="AO28" s="292"/>
      <c r="AP28" s="292"/>
    </row>
    <row r="29" spans="1:42" s="1773" customFormat="1" ht="18.75" hidden="1" customHeight="1">
      <c r="A29" s="1286"/>
      <c r="B29" s="1286"/>
      <c r="C29" s="1286"/>
      <c r="D29" s="1286"/>
      <c r="E29" s="1286"/>
      <c r="F29" s="1286"/>
      <c r="G29" s="1286"/>
      <c r="H29" s="1286"/>
      <c r="I29" s="1286"/>
      <c r="J29" s="1286"/>
      <c r="K29" s="1286"/>
      <c r="L29" s="1287"/>
      <c r="M29" s="1286"/>
      <c r="N29" s="1286"/>
      <c r="O29" s="1286"/>
      <c r="S29" s="2067" t="s">
        <v>484</v>
      </c>
      <c r="T29" s="2067"/>
      <c r="U29" s="1290"/>
      <c r="V29" s="2069" t="str">
        <f>IF(TITLE_NUMBER_PR_CHANGE="",IF(TITLE_NUMBER_PR="","",TITLE_NUMBER_PR),TITLE_NUMBER_PR_CHANGE)</f>
        <v/>
      </c>
      <c r="W29" s="2069"/>
      <c r="X29" s="2069"/>
      <c r="Y29" s="2069"/>
      <c r="Z29" s="2069"/>
      <c r="AA29" s="2069"/>
      <c r="AB29" s="248"/>
      <c r="AC29" s="2069" t="str">
        <f>IF(TITLE_NUMBER_PR_CHANGE="",IF(TITLE_NUMBER_PR="","",TITLE_NUMBER_PR),TITLE_NUMBER_PR_CHANGE)</f>
        <v/>
      </c>
      <c r="AD29" s="2069"/>
      <c r="AE29" s="2069"/>
      <c r="AF29" s="2069"/>
      <c r="AG29" s="2069"/>
      <c r="AH29" s="2069"/>
      <c r="AI29" s="248"/>
      <c r="AJ29" s="248"/>
      <c r="AK29" s="196"/>
      <c r="AL29" s="292"/>
      <c r="AM29" s="292"/>
      <c r="AN29" s="292"/>
      <c r="AO29" s="292"/>
      <c r="AP29" s="292"/>
    </row>
    <row r="30" spans="1:42" s="1773" customFormat="1" ht="18.75" hidden="1" customHeight="1">
      <c r="A30" s="1286"/>
      <c r="B30" s="1286"/>
      <c r="C30" s="1286"/>
      <c r="D30" s="1286"/>
      <c r="E30" s="1286"/>
      <c r="F30" s="1286"/>
      <c r="G30" s="1286"/>
      <c r="H30" s="1286"/>
      <c r="I30" s="1286"/>
      <c r="J30" s="1286"/>
      <c r="K30" s="1286"/>
      <c r="L30" s="1287"/>
      <c r="M30" s="1286"/>
      <c r="N30" s="1286"/>
      <c r="O30" s="1286"/>
      <c r="S30" s="2067" t="s">
        <v>41</v>
      </c>
      <c r="T30" s="2067"/>
      <c r="U30" s="1290"/>
      <c r="V30" s="2069" t="str">
        <f>IF(TITLE_IST_PUB_CHANGE="",IF(TITLE_IST_PUB="","",TITLE_IST_PUB),TITLE_IST_PUB_CHANGE)</f>
        <v/>
      </c>
      <c r="W30" s="2069"/>
      <c r="X30" s="2069"/>
      <c r="Y30" s="2069"/>
      <c r="Z30" s="2069"/>
      <c r="AA30" s="2069"/>
      <c r="AB30" s="248"/>
      <c r="AC30" s="2069" t="str">
        <f>IF(TITLE_IST_PUB_CHANGE="",IF(TITLE_IST_PUB="","",TITLE_IST_PUB),TITLE_IST_PUB_CHANGE)</f>
        <v/>
      </c>
      <c r="AD30" s="2069"/>
      <c r="AE30" s="2069"/>
      <c r="AF30" s="2069"/>
      <c r="AG30" s="2069"/>
      <c r="AH30" s="2069"/>
      <c r="AI30" s="248"/>
      <c r="AJ30" s="248"/>
      <c r="AK30" s="196"/>
      <c r="AL30" s="292"/>
      <c r="AM30" s="292"/>
      <c r="AN30" s="292"/>
      <c r="AO30" s="292"/>
      <c r="AP30" s="292"/>
    </row>
    <row r="31" spans="1:42" ht="14.25" hidden="1" customHeight="1">
      <c r="Q31" s="300"/>
      <c r="R31" s="300"/>
      <c r="S31" s="1197"/>
      <c r="T31" s="286"/>
      <c r="U31" s="286"/>
      <c r="V31" s="242"/>
      <c r="W31" s="242"/>
      <c r="X31" s="242"/>
      <c r="Y31" s="242"/>
      <c r="Z31" s="242"/>
      <c r="AA31" s="242"/>
      <c r="AB31" s="242"/>
      <c r="AC31" s="242"/>
      <c r="AD31" s="242"/>
      <c r="AE31" s="242"/>
      <c r="AF31" s="242"/>
      <c r="AG31" s="242"/>
      <c r="AH31" s="242"/>
      <c r="AI31" s="242"/>
      <c r="AJ31" s="435"/>
    </row>
    <row r="32" spans="1:42" s="1773" customFormat="1" ht="18.75" hidden="1" customHeight="1">
      <c r="A32" s="1286"/>
      <c r="B32" s="1286"/>
      <c r="C32" s="1286"/>
      <c r="D32" s="1286"/>
      <c r="E32" s="1286"/>
      <c r="F32" s="1286"/>
      <c r="G32" s="1286"/>
      <c r="H32" s="1286"/>
      <c r="I32" s="1286"/>
      <c r="J32" s="1286"/>
      <c r="K32" s="1286"/>
      <c r="L32" s="1287"/>
      <c r="M32" s="1286"/>
      <c r="N32" s="1286"/>
      <c r="O32" s="1286"/>
      <c r="S32" s="2067" t="s">
        <v>485</v>
      </c>
      <c r="T32" s="2067"/>
      <c r="U32" s="1290"/>
      <c r="V32" s="2068" t="str">
        <f>IF(TITLE_DATE_CHANGE_PERIOD="",IF(TITLE_DATE_PR="","",TITLE_DATE_PR),TITLE_DATE_CHANGE_PERIOD)</f>
        <v/>
      </c>
      <c r="W32" s="2068"/>
      <c r="X32" s="2068"/>
      <c r="Y32" s="2068"/>
      <c r="Z32" s="2068"/>
      <c r="AA32" s="2068"/>
      <c r="AB32" s="248"/>
      <c r="AC32" s="2068" t="str">
        <f>IF(TITLE_DATE_CHANGE_PERIOD="",IF(TITLE_DATE_PR="","",TITLE_DATE_PR),TITLE_DATE_CHANGE_PERIOD)</f>
        <v/>
      </c>
      <c r="AD32" s="2068"/>
      <c r="AE32" s="2068"/>
      <c r="AF32" s="2068"/>
      <c r="AG32" s="2068"/>
      <c r="AH32" s="2068"/>
      <c r="AI32" s="248"/>
      <c r="AJ32" s="248"/>
      <c r="AK32" s="196"/>
      <c r="AL32" s="292"/>
      <c r="AM32" s="292"/>
      <c r="AN32" s="292"/>
      <c r="AO32" s="292"/>
      <c r="AP32" s="292"/>
    </row>
    <row r="33" spans="1:42" s="1773" customFormat="1" ht="18.75" hidden="1" customHeight="1">
      <c r="A33" s="1286"/>
      <c r="B33" s="1286"/>
      <c r="C33" s="1286"/>
      <c r="D33" s="1286"/>
      <c r="E33" s="1286"/>
      <c r="F33" s="1286"/>
      <c r="G33" s="1286"/>
      <c r="H33" s="1286"/>
      <c r="I33" s="1286"/>
      <c r="J33" s="1286"/>
      <c r="K33" s="1286"/>
      <c r="L33" s="1287"/>
      <c r="M33" s="1286"/>
      <c r="N33" s="1286"/>
      <c r="O33" s="1286"/>
      <c r="S33" s="2067" t="s">
        <v>486</v>
      </c>
      <c r="T33" s="2067"/>
      <c r="U33" s="1290"/>
      <c r="V33" s="2069" t="str">
        <f>IF(TITLE_NUMBER_PR_CHANGE="",IF(TITLE_NUMBER_PR="","",TITLE_NUMBER_PR),TITLE_NUMBER_PR_CHANGE)</f>
        <v/>
      </c>
      <c r="W33" s="2069"/>
      <c r="X33" s="2069"/>
      <c r="Y33" s="2069"/>
      <c r="Z33" s="2069"/>
      <c r="AA33" s="2069"/>
      <c r="AB33" s="248"/>
      <c r="AC33" s="2069" t="str">
        <f>IF(TITLE_NUMBER_PR_CHANGE="",IF(TITLE_NUMBER_PR="","",TITLE_NUMBER_PR),TITLE_NUMBER_PR_CHANGE)</f>
        <v/>
      </c>
      <c r="AD33" s="2069"/>
      <c r="AE33" s="2069"/>
      <c r="AF33" s="2069"/>
      <c r="AG33" s="2069"/>
      <c r="AH33" s="2069"/>
      <c r="AI33" s="248"/>
      <c r="AJ33" s="248"/>
      <c r="AK33" s="196"/>
      <c r="AL33" s="292"/>
      <c r="AM33" s="292"/>
      <c r="AN33" s="292"/>
      <c r="AO33" s="292"/>
      <c r="AP33" s="292"/>
    </row>
    <row r="34" spans="1:42" s="1773" customFormat="1" ht="0.75" customHeight="1">
      <c r="A34" s="1286"/>
      <c r="B34" s="1286"/>
      <c r="C34" s="1286"/>
      <c r="D34" s="1286"/>
      <c r="E34" s="1286"/>
      <c r="F34" s="1286"/>
      <c r="G34" s="1286"/>
      <c r="H34" s="1286"/>
      <c r="I34" s="1286"/>
      <c r="J34" s="1286"/>
      <c r="K34" s="1286"/>
      <c r="L34" s="1287"/>
      <c r="M34" s="1286"/>
      <c r="N34" s="1286"/>
      <c r="O34" s="1286"/>
      <c r="S34" s="244"/>
      <c r="T34" s="244"/>
      <c r="U34" s="1369"/>
      <c r="V34" s="248"/>
      <c r="W34" s="248"/>
      <c r="X34" s="248"/>
      <c r="Y34" s="248"/>
      <c r="Z34" s="248"/>
      <c r="AA34" s="248"/>
      <c r="AB34" s="194" t="s">
        <v>487</v>
      </c>
      <c r="AC34" s="248"/>
      <c r="AD34" s="248"/>
      <c r="AE34" s="248"/>
      <c r="AF34" s="248"/>
      <c r="AG34" s="248"/>
      <c r="AH34" s="248"/>
      <c r="AI34" s="194" t="s">
        <v>487</v>
      </c>
      <c r="AL34" s="292"/>
      <c r="AM34" s="292"/>
      <c r="AN34" s="292"/>
      <c r="AO34" s="292"/>
      <c r="AP34" s="292"/>
    </row>
    <row r="35" spans="1:42" ht="14.25" customHeight="1">
      <c r="Q35" s="300"/>
      <c r="R35" s="300"/>
      <c r="S35" s="1197"/>
      <c r="T35" s="286"/>
      <c r="U35" s="1155"/>
      <c r="V35" s="2087"/>
      <c r="W35" s="2087"/>
      <c r="X35" s="2087"/>
      <c r="Y35" s="2087"/>
      <c r="Z35" s="2087"/>
      <c r="AA35" s="2087"/>
      <c r="AB35" s="2087"/>
      <c r="AC35" s="2087"/>
      <c r="AD35" s="2087"/>
      <c r="AE35" s="2087"/>
      <c r="AF35" s="2087"/>
      <c r="AG35" s="2087"/>
      <c r="AH35" s="2087"/>
      <c r="AI35" s="2087"/>
    </row>
    <row r="36" spans="1:42" ht="14.25" customHeight="1">
      <c r="Q36" s="300"/>
      <c r="R36" s="300"/>
      <c r="S36" s="1874" t="s">
        <v>291</v>
      </c>
      <c r="T36" s="1874"/>
      <c r="U36" s="1874"/>
      <c r="V36" s="1874"/>
      <c r="W36" s="1874"/>
      <c r="X36" s="1874"/>
      <c r="Y36" s="1874"/>
      <c r="Z36" s="1874"/>
      <c r="AA36" s="1874"/>
      <c r="AB36" s="1874"/>
      <c r="AC36" s="1874"/>
      <c r="AD36" s="1874"/>
      <c r="AE36" s="1874"/>
      <c r="AF36" s="1874"/>
      <c r="AG36" s="1874"/>
      <c r="AH36" s="1874"/>
      <c r="AI36" s="1874"/>
      <c r="AJ36" s="1874"/>
      <c r="AK36" s="1874" t="s">
        <v>292</v>
      </c>
    </row>
    <row r="37" spans="1:42" ht="14.25" customHeight="1">
      <c r="Q37" s="300"/>
      <c r="R37" s="300"/>
      <c r="S37" s="2088" t="s">
        <v>88</v>
      </c>
      <c r="T37" s="1959" t="s">
        <v>488</v>
      </c>
      <c r="U37" s="215"/>
      <c r="V37" s="2089" t="s">
        <v>489</v>
      </c>
      <c r="W37" s="2090"/>
      <c r="X37" s="2090"/>
      <c r="Y37" s="2090"/>
      <c r="Z37" s="2090"/>
      <c r="AA37" s="2091"/>
      <c r="AB37" s="2092" t="s">
        <v>490</v>
      </c>
      <c r="AC37" s="2089" t="s">
        <v>489</v>
      </c>
      <c r="AD37" s="2090"/>
      <c r="AE37" s="2090"/>
      <c r="AF37" s="2090"/>
      <c r="AG37" s="2090"/>
      <c r="AH37" s="2091"/>
      <c r="AI37" s="2092" t="s">
        <v>491</v>
      </c>
      <c r="AJ37" s="2095" t="s">
        <v>492</v>
      </c>
      <c r="AK37" s="1874"/>
    </row>
    <row r="38" spans="1:42" ht="33.75" customHeight="1">
      <c r="Q38" s="300"/>
      <c r="R38" s="300"/>
      <c r="S38" s="2088"/>
      <c r="T38" s="1959"/>
      <c r="U38" s="939"/>
      <c r="V38" s="1367" t="s">
        <v>1684</v>
      </c>
      <c r="W38" s="1856" t="s">
        <v>495</v>
      </c>
      <c r="X38" s="1855"/>
      <c r="Y38" s="1856" t="s">
        <v>496</v>
      </c>
      <c r="Z38" s="1861"/>
      <c r="AA38" s="1855"/>
      <c r="AB38" s="2093"/>
      <c r="AC38" s="1367" t="s">
        <v>1684</v>
      </c>
      <c r="AD38" s="1856" t="s">
        <v>495</v>
      </c>
      <c r="AE38" s="1855"/>
      <c r="AF38" s="1856" t="s">
        <v>496</v>
      </c>
      <c r="AG38" s="1861"/>
      <c r="AH38" s="1855"/>
      <c r="AI38" s="2093"/>
      <c r="AJ38" s="2096"/>
      <c r="AK38" s="1874"/>
    </row>
    <row r="39" spans="1:42" ht="33.75" customHeight="1">
      <c r="A39" s="1288"/>
      <c r="B39" s="1288" t="s">
        <v>140</v>
      </c>
      <c r="C39" s="1288" t="s">
        <v>141</v>
      </c>
      <c r="D39" s="1288" t="s">
        <v>142</v>
      </c>
      <c r="E39" s="1282" t="s">
        <v>497</v>
      </c>
      <c r="F39" s="1282" t="s">
        <v>498</v>
      </c>
      <c r="G39" s="1282" t="s">
        <v>499</v>
      </c>
      <c r="H39" s="1282"/>
      <c r="I39" s="1282" t="s">
        <v>1685</v>
      </c>
      <c r="J39" s="1282" t="s">
        <v>502</v>
      </c>
      <c r="K39" s="1282" t="s">
        <v>1686</v>
      </c>
      <c r="L39" s="1282" t="s">
        <v>478</v>
      </c>
      <c r="Q39" s="300"/>
      <c r="R39" s="300"/>
      <c r="S39" s="2088"/>
      <c r="T39" s="1959"/>
      <c r="U39" s="216"/>
      <c r="V39" s="1367" t="s">
        <v>1687</v>
      </c>
      <c r="W39" s="1130" t="s">
        <v>1688</v>
      </c>
      <c r="X39" s="1130" t="s">
        <v>1689</v>
      </c>
      <c r="Y39" s="1370" t="s">
        <v>506</v>
      </c>
      <c r="Z39" s="1965" t="s">
        <v>507</v>
      </c>
      <c r="AA39" s="1979"/>
      <c r="AB39" s="2094"/>
      <c r="AC39" s="1367" t="s">
        <v>1687</v>
      </c>
      <c r="AD39" s="1130" t="s">
        <v>1688</v>
      </c>
      <c r="AE39" s="1130" t="s">
        <v>1689</v>
      </c>
      <c r="AF39" s="1370" t="s">
        <v>506</v>
      </c>
      <c r="AG39" s="1965" t="s">
        <v>507</v>
      </c>
      <c r="AH39" s="1979"/>
      <c r="AI39" s="2094"/>
      <c r="AJ39" s="2097"/>
      <c r="AK39" s="1874"/>
    </row>
    <row r="40" spans="1:42" s="1558" customFormat="1" ht="0" hidden="1" customHeight="1">
      <c r="A40" s="1288"/>
      <c r="B40" s="1288"/>
      <c r="C40" s="1288"/>
      <c r="D40" s="1288"/>
      <c r="E40" s="1288"/>
      <c r="F40" s="1288"/>
      <c r="G40" s="1288"/>
      <c r="H40" s="1288"/>
      <c r="I40" s="1288"/>
      <c r="J40" s="1288"/>
      <c r="K40" s="1288"/>
      <c r="L40" s="1282"/>
      <c r="M40" s="1280"/>
      <c r="N40" s="1280"/>
      <c r="O40" s="1280"/>
      <c r="P40" s="1157"/>
      <c r="Q40" s="1158"/>
      <c r="R40" s="1173">
        <v>1</v>
      </c>
      <c r="S40" s="1199" t="s">
        <v>109</v>
      </c>
      <c r="T40" s="1174" t="s">
        <v>110</v>
      </c>
      <c r="U40" s="1156" t="str">
        <f ca="1">OFFSET(U40,0,-1)</f>
        <v>2</v>
      </c>
      <c r="V40" s="1366">
        <f ca="1">OFFSET(V40,0,-1)+1</f>
        <v>3</v>
      </c>
      <c r="W40" s="1366">
        <f ca="1">OFFSET(W40,0,-1)+1</f>
        <v>4</v>
      </c>
      <c r="X40" s="1366">
        <f ca="1">OFFSET(X40,0,-1)+1</f>
        <v>5</v>
      </c>
      <c r="Y40" s="1366">
        <f ca="1">OFFSET(Y40,0,-1)+1</f>
        <v>6</v>
      </c>
      <c r="Z40" s="2086">
        <f ca="1">OFFSET(Z40,0,-1)+1</f>
        <v>7</v>
      </c>
      <c r="AA40" s="2086"/>
      <c r="AB40" s="1366">
        <f ca="1">OFFSET(AB40,0,-2)+1</f>
        <v>8</v>
      </c>
      <c r="AC40" s="1366">
        <f ca="1">OFFSET(AC40,0,-1)+1</f>
        <v>9</v>
      </c>
      <c r="AD40" s="1366">
        <f ca="1">OFFSET(AD40,0,-1)+1</f>
        <v>10</v>
      </c>
      <c r="AE40" s="1366">
        <f ca="1">OFFSET(AE40,0,-1)+1</f>
        <v>11</v>
      </c>
      <c r="AF40" s="1366">
        <f ca="1">OFFSET(AF40,0,-1)+1</f>
        <v>12</v>
      </c>
      <c r="AG40" s="2086">
        <f ca="1">OFFSET(AG40,0,-1)+1</f>
        <v>13</v>
      </c>
      <c r="AH40" s="2086"/>
      <c r="AI40" s="1366">
        <f ca="1">OFFSET(AI40,0,-2)+1</f>
        <v>14</v>
      </c>
      <c r="AJ40" s="1156">
        <f ca="1">OFFSET(AJ40,0,-1)</f>
        <v>14</v>
      </c>
      <c r="AK40" s="1366">
        <f ca="1">OFFSET(AK40,0,-1)+1</f>
        <v>15</v>
      </c>
      <c r="AL40" s="437"/>
      <c r="AM40" s="437"/>
      <c r="AN40" s="437"/>
      <c r="AO40" s="437"/>
      <c r="AP40" s="437"/>
    </row>
    <row r="41" spans="1:42" ht="23.25" customHeight="1">
      <c r="A41" s="1281" t="s">
        <v>227</v>
      </c>
      <c r="B41" s="1281"/>
      <c r="C41" s="1281"/>
      <c r="D41" s="1281"/>
      <c r="E41" s="2076">
        <v>1</v>
      </c>
      <c r="F41" s="1281"/>
      <c r="G41" s="1281"/>
      <c r="H41" s="1281"/>
      <c r="I41" s="1281"/>
      <c r="J41" s="1281"/>
      <c r="K41" s="1281"/>
      <c r="L41" s="1282"/>
      <c r="M41" s="1283"/>
      <c r="N41" s="1283"/>
      <c r="O41" s="1283"/>
      <c r="P41" s="282"/>
      <c r="Q41" s="281"/>
      <c r="R41" s="276"/>
      <c r="S41" s="1372">
        <f>INDEX(PT_DIFFERENTIATION_NUM_NTAR,MATCH(A41,PT_DIFFERENTIATION_NTAR_ID,0))</f>
        <v>0</v>
      </c>
      <c r="T41" s="212" t="s">
        <v>128</v>
      </c>
      <c r="U41" s="214"/>
      <c r="V41" s="2070"/>
      <c r="W41" s="2071"/>
      <c r="X41" s="2071"/>
      <c r="Y41" s="2071"/>
      <c r="Z41" s="2071"/>
      <c r="AA41" s="2071"/>
      <c r="AB41" s="2072"/>
      <c r="AC41" s="2070" t="str">
        <f>INDEX(PT_DIFFERENTIATION_NTAR,MATCH(A41,PT_DIFFERENTIATION_NTAR_ID,0))</f>
        <v/>
      </c>
      <c r="AD41" s="2071"/>
      <c r="AE41" s="2071"/>
      <c r="AF41" s="2071"/>
      <c r="AG41" s="2071"/>
      <c r="AH41" s="2071"/>
      <c r="AI41" s="2071"/>
      <c r="AJ41" s="2072"/>
      <c r="AK41" s="117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426"/>
      <c r="AN41" s="426" t="str">
        <f t="shared" ref="AN41:AN53" si="1">IF(T41="","",T41)</f>
        <v>Наименование тарифа</v>
      </c>
      <c r="AO41" s="426"/>
      <c r="AP41" s="426"/>
    </row>
    <row r="42" spans="1:42" ht="23.25" customHeight="1">
      <c r="A42" s="1281" t="s">
        <v>227</v>
      </c>
      <c r="B42" s="1281" t="s">
        <v>228</v>
      </c>
      <c r="C42" s="1281"/>
      <c r="D42" s="1281"/>
      <c r="E42" s="2077"/>
      <c r="F42" s="2076">
        <v>1</v>
      </c>
      <c r="G42" s="1281"/>
      <c r="H42" s="1281"/>
      <c r="I42" s="1281"/>
      <c r="J42" s="1281"/>
      <c r="K42" s="1281"/>
      <c r="L42" s="1282"/>
      <c r="M42" s="1283"/>
      <c r="N42" s="1283"/>
      <c r="O42" s="1283"/>
      <c r="P42" s="1368"/>
      <c r="Q42" s="273"/>
      <c r="R42" s="274"/>
      <c r="S42" s="1372" t="str">
        <f>INDEX(PT_DIFFERENTIATION_NUM_TER,MATCH(B42,PT_DIFFERENTIATION_TER_ID,0))</f>
        <v>.</v>
      </c>
      <c r="T42" s="224" t="s">
        <v>460</v>
      </c>
      <c r="U42" s="214"/>
      <c r="V42" s="2070"/>
      <c r="W42" s="2071"/>
      <c r="X42" s="2071"/>
      <c r="Y42" s="2071"/>
      <c r="Z42" s="2071"/>
      <c r="AA42" s="2071"/>
      <c r="AB42" s="2072"/>
      <c r="AC42" s="2070" t="str">
        <f>INDEX(PT_DIFFERENTIATION_TER,MATCH(B42,PT_DIFFERENTIATION_TER_ID,0))</f>
        <v/>
      </c>
      <c r="AD42" s="2071"/>
      <c r="AE42" s="2071"/>
      <c r="AF42" s="2071"/>
      <c r="AG42" s="2071"/>
      <c r="AH42" s="2071"/>
      <c r="AI42" s="2071"/>
      <c r="AJ42" s="2072"/>
      <c r="AK42" s="1179" t="s">
        <v>461</v>
      </c>
      <c r="AM42" s="426"/>
      <c r="AN42" s="426" t="str">
        <f t="shared" si="1"/>
        <v>Территория действия тарифа</v>
      </c>
      <c r="AO42" s="426"/>
      <c r="AP42" s="426"/>
    </row>
    <row r="43" spans="1:42" ht="23.25" customHeight="1">
      <c r="A43" s="1281" t="s">
        <v>227</v>
      </c>
      <c r="B43" s="1281" t="s">
        <v>228</v>
      </c>
      <c r="C43" s="1281" t="s">
        <v>229</v>
      </c>
      <c r="D43" s="1281"/>
      <c r="E43" s="2077"/>
      <c r="F43" s="2077"/>
      <c r="G43" s="2076">
        <v>1</v>
      </c>
      <c r="H43" s="1281"/>
      <c r="I43" s="1281"/>
      <c r="J43" s="1281"/>
      <c r="K43" s="1281"/>
      <c r="L43" s="1282"/>
      <c r="M43" s="1283"/>
      <c r="N43" s="1283"/>
      <c r="O43" s="1283"/>
      <c r="P43" s="275"/>
      <c r="Q43" s="273"/>
      <c r="R43" s="274"/>
      <c r="S43" s="1372" t="str">
        <f>INDEX(PT_DIFFERENTIATION_NUM_CS,MATCH(C43,PT_DIFFERENTIATION_CS_ID,0))</f>
        <v>..</v>
      </c>
      <c r="T43" s="225" t="s">
        <v>1676</v>
      </c>
      <c r="U43" s="214"/>
      <c r="V43" s="2070"/>
      <c r="W43" s="2071"/>
      <c r="X43" s="2071"/>
      <c r="Y43" s="2071"/>
      <c r="Z43" s="2071"/>
      <c r="AA43" s="2071"/>
      <c r="AB43" s="2072"/>
      <c r="AC43" s="2070" t="str">
        <f>INDEX(PT_DIFFERENTIATION_CS,MATCH(C43,PT_DIFFERENTIATION_CS_ID,0))</f>
        <v/>
      </c>
      <c r="AD43" s="2071"/>
      <c r="AE43" s="2071"/>
      <c r="AF43" s="2071"/>
      <c r="AG43" s="2071"/>
      <c r="AH43" s="2071"/>
      <c r="AI43" s="2071"/>
      <c r="AJ43" s="2072"/>
      <c r="AK43" s="1179" t="s">
        <v>1677</v>
      </c>
      <c r="AM43" s="426"/>
      <c r="AN43" s="426" t="str">
        <f t="shared" si="1"/>
        <v>Наименование централизованной системы холодного водоснабжения</v>
      </c>
      <c r="AO43" s="426"/>
      <c r="AP43" s="426"/>
    </row>
    <row r="44" spans="1:42" ht="23.25" customHeight="1">
      <c r="A44" s="1281" t="s">
        <v>227</v>
      </c>
      <c r="B44" s="1281" t="s">
        <v>228</v>
      </c>
      <c r="C44" s="1281" t="s">
        <v>229</v>
      </c>
      <c r="D44" s="1281" t="s">
        <v>1694</v>
      </c>
      <c r="E44" s="2077"/>
      <c r="F44" s="2077"/>
      <c r="G44" s="2077"/>
      <c r="H44" s="2077"/>
      <c r="I44" s="2078" t="str">
        <f>S43&amp;".1"</f>
        <v>...1</v>
      </c>
      <c r="J44" s="1281"/>
      <c r="K44" s="1281"/>
      <c r="L44" s="1282"/>
      <c r="P44" s="1995">
        <v>1</v>
      </c>
      <c r="Q44" s="1365"/>
      <c r="R44" s="277"/>
      <c r="S44" s="1372" t="str">
        <f>$I44</f>
        <v>...1</v>
      </c>
      <c r="T44" s="200" t="s">
        <v>1678</v>
      </c>
      <c r="U44" s="214"/>
      <c r="V44" s="2176"/>
      <c r="W44" s="2177"/>
      <c r="X44" s="2177"/>
      <c r="Y44" s="2177"/>
      <c r="Z44" s="2177"/>
      <c r="AA44" s="2177"/>
      <c r="AB44" s="2178"/>
      <c r="AC44" s="2179"/>
      <c r="AD44" s="2180"/>
      <c r="AE44" s="2180"/>
      <c r="AF44" s="2180"/>
      <c r="AG44" s="2180"/>
      <c r="AH44" s="2180"/>
      <c r="AI44" s="2180"/>
      <c r="AJ44" s="2181"/>
      <c r="AK44" s="1179" t="s">
        <v>1679</v>
      </c>
      <c r="AM44" s="426"/>
      <c r="AN44" s="426" t="str">
        <f t="shared" si="1"/>
        <v>Наименование признака дифференциации</v>
      </c>
      <c r="AO44" s="426"/>
      <c r="AP44" s="426"/>
    </row>
    <row r="45" spans="1:42" ht="23.25" customHeight="1">
      <c r="A45" s="1281" t="s">
        <v>227</v>
      </c>
      <c r="B45" s="1281" t="s">
        <v>228</v>
      </c>
      <c r="C45" s="1281" t="s">
        <v>229</v>
      </c>
      <c r="D45" s="1281" t="s">
        <v>1694</v>
      </c>
      <c r="E45" s="2077"/>
      <c r="F45" s="2077"/>
      <c r="G45" s="2077"/>
      <c r="H45" s="2077"/>
      <c r="I45" s="2079"/>
      <c r="J45" s="2078" t="str">
        <f>I44&amp;".1"</f>
        <v>...1.1</v>
      </c>
      <c r="K45" s="1281"/>
      <c r="L45" s="1282" t="s">
        <v>469</v>
      </c>
      <c r="P45" s="1995"/>
      <c r="Q45" s="1995">
        <v>1</v>
      </c>
      <c r="R45" s="278"/>
      <c r="S45" s="1372" t="str">
        <f>$J45</f>
        <v>...1.1</v>
      </c>
      <c r="T45" s="201" t="s">
        <v>470</v>
      </c>
      <c r="U45" s="214"/>
      <c r="V45" s="2064"/>
      <c r="W45" s="2065"/>
      <c r="X45" s="2065"/>
      <c r="Y45" s="2065"/>
      <c r="Z45" s="2065"/>
      <c r="AA45" s="2065"/>
      <c r="AB45" s="2066"/>
      <c r="AC45" s="2064"/>
      <c r="AD45" s="2065"/>
      <c r="AE45" s="2065"/>
      <c r="AF45" s="2065"/>
      <c r="AG45" s="2065"/>
      <c r="AH45" s="2065"/>
      <c r="AI45" s="2065"/>
      <c r="AJ45" s="2066"/>
      <c r="AK45" s="1228" t="s">
        <v>1680</v>
      </c>
      <c r="AM45" s="426"/>
      <c r="AN45" s="426" t="str">
        <f t="shared" si="1"/>
        <v>Группа потребителей</v>
      </c>
      <c r="AO45" s="426"/>
      <c r="AP45" s="426"/>
    </row>
    <row r="46" spans="1:42" ht="23.25" customHeight="1">
      <c r="A46" s="1281" t="s">
        <v>227</v>
      </c>
      <c r="B46" s="1281" t="s">
        <v>228</v>
      </c>
      <c r="C46" s="1281" t="s">
        <v>229</v>
      </c>
      <c r="D46" s="1281" t="s">
        <v>1694</v>
      </c>
      <c r="E46" s="2077"/>
      <c r="F46" s="2077"/>
      <c r="G46" s="2077"/>
      <c r="H46" s="2077"/>
      <c r="I46" s="2079"/>
      <c r="J46" s="2079"/>
      <c r="K46" s="2078" t="str">
        <f>J45&amp;".1"</f>
        <v>...1.1.1</v>
      </c>
      <c r="L46" s="1282"/>
      <c r="P46" s="1995"/>
      <c r="Q46" s="1995"/>
      <c r="R46" s="278">
        <v>1</v>
      </c>
      <c r="S46" s="1372" t="str">
        <f>$K46</f>
        <v>...1.1.1</v>
      </c>
      <c r="T46" s="1354"/>
      <c r="U46" s="214"/>
      <c r="V46" s="664"/>
      <c r="W46" s="664"/>
      <c r="X46" s="1178"/>
      <c r="Y46" s="2080"/>
      <c r="Z46" s="1885" t="s">
        <v>59</v>
      </c>
      <c r="AA46" s="2080"/>
      <c r="AB46" s="1885" t="s">
        <v>59</v>
      </c>
      <c r="AC46" s="664"/>
      <c r="AD46" s="664"/>
      <c r="AE46" s="1178"/>
      <c r="AF46" s="2080"/>
      <c r="AG46" s="1885" t="s">
        <v>59</v>
      </c>
      <c r="AH46" s="2082"/>
      <c r="AI46" s="1885" t="s">
        <v>59</v>
      </c>
      <c r="AJ46" s="1355"/>
      <c r="AK46" s="2182"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437" t="e">
        <f ca="1">STRCHECKDATE(V47:AJ47)</f>
        <v>#NAME?</v>
      </c>
      <c r="AM46" s="426"/>
      <c r="AN46" s="426" t="str">
        <f t="shared" si="1"/>
        <v/>
      </c>
      <c r="AO46" s="426"/>
      <c r="AP46" s="426"/>
    </row>
    <row r="47" spans="1:42" ht="0" hidden="1" customHeight="1">
      <c r="A47" s="1281" t="s">
        <v>227</v>
      </c>
      <c r="B47" s="1281" t="s">
        <v>228</v>
      </c>
      <c r="C47" s="1281" t="s">
        <v>229</v>
      </c>
      <c r="D47" s="1281" t="s">
        <v>1694</v>
      </c>
      <c r="E47" s="2077"/>
      <c r="F47" s="2077"/>
      <c r="G47" s="2077"/>
      <c r="H47" s="2077"/>
      <c r="I47" s="2079"/>
      <c r="J47" s="2079"/>
      <c r="K47" s="2078"/>
      <c r="L47" s="1282"/>
      <c r="P47" s="1995"/>
      <c r="Q47" s="1995"/>
      <c r="R47" s="278"/>
      <c r="S47" s="1371"/>
      <c r="T47" s="214"/>
      <c r="U47" s="214"/>
      <c r="V47" s="246"/>
      <c r="W47" s="246"/>
      <c r="X47" s="250" t="str">
        <f>Y46&amp;"-"&amp;AA46</f>
        <v>-</v>
      </c>
      <c r="Y47" s="2081"/>
      <c r="Z47" s="1885"/>
      <c r="AA47" s="2081"/>
      <c r="AB47" s="1885"/>
      <c r="AC47" s="246"/>
      <c r="AD47" s="246"/>
      <c r="AE47" s="250" t="str">
        <f>AF46&amp;"-"&amp;AH46</f>
        <v>-</v>
      </c>
      <c r="AF47" s="2081"/>
      <c r="AG47" s="1885"/>
      <c r="AH47" s="2083"/>
      <c r="AI47" s="1885"/>
      <c r="AJ47" s="1356"/>
      <c r="AK47" s="2182"/>
      <c r="AM47" s="426"/>
      <c r="AN47" s="426" t="str">
        <f t="shared" si="1"/>
        <v/>
      </c>
      <c r="AO47" s="426"/>
      <c r="AP47" s="426"/>
    </row>
    <row r="48" spans="1:42" ht="21" customHeight="1">
      <c r="A48" s="1281" t="s">
        <v>227</v>
      </c>
      <c r="B48" s="1281" t="s">
        <v>228</v>
      </c>
      <c r="C48" s="1281" t="s">
        <v>229</v>
      </c>
      <c r="D48" s="1281" t="s">
        <v>1694</v>
      </c>
      <c r="E48" s="2077"/>
      <c r="F48" s="2077"/>
      <c r="G48" s="2077"/>
      <c r="H48" s="2077"/>
      <c r="I48" s="2079"/>
      <c r="J48" s="2078"/>
      <c r="K48" s="1281"/>
      <c r="L48" s="1282"/>
      <c r="P48" s="1995"/>
      <c r="Q48" s="1995"/>
      <c r="R48" s="277"/>
      <c r="S48" s="1200"/>
      <c r="T48" s="202" t="s">
        <v>1681</v>
      </c>
      <c r="U48" s="291"/>
      <c r="V48" s="291"/>
      <c r="W48" s="291"/>
      <c r="X48" s="291"/>
      <c r="Y48" s="291"/>
      <c r="Z48" s="291"/>
      <c r="AA48" s="291"/>
      <c r="AB48" s="291"/>
      <c r="AC48" s="291"/>
      <c r="AD48" s="291"/>
      <c r="AE48" s="291"/>
      <c r="AF48" s="291"/>
      <c r="AG48" s="291"/>
      <c r="AH48" s="291"/>
      <c r="AI48" s="291"/>
      <c r="AJ48" s="291"/>
      <c r="AK48" s="1179" t="s">
        <v>1682</v>
      </c>
      <c r="AM48" s="426"/>
      <c r="AN48" s="426" t="str">
        <f t="shared" si="1"/>
        <v>Добавить значение признака дифференциации</v>
      </c>
      <c r="AO48" s="426"/>
      <c r="AP48" s="426"/>
    </row>
    <row r="49" spans="1:42" ht="21" customHeight="1">
      <c r="A49" s="1281" t="s">
        <v>227</v>
      </c>
      <c r="B49" s="1281" t="s">
        <v>228</v>
      </c>
      <c r="C49" s="1281" t="s">
        <v>229</v>
      </c>
      <c r="D49" s="1281" t="s">
        <v>1694</v>
      </c>
      <c r="E49" s="2077"/>
      <c r="F49" s="2077"/>
      <c r="G49" s="2077"/>
      <c r="H49" s="2077"/>
      <c r="I49" s="2078"/>
      <c r="J49" s="1281"/>
      <c r="K49" s="1281"/>
      <c r="L49" s="1282"/>
      <c r="P49" s="1995"/>
      <c r="Q49" s="1365"/>
      <c r="R49" s="277"/>
      <c r="S49" s="1200"/>
      <c r="T49" s="288" t="s">
        <v>475</v>
      </c>
      <c r="U49" s="291"/>
      <c r="V49" s="291"/>
      <c r="W49" s="291"/>
      <c r="X49" s="291"/>
      <c r="Y49" s="291"/>
      <c r="Z49" s="291"/>
      <c r="AA49" s="291"/>
      <c r="AB49" s="290"/>
      <c r="AC49" s="291"/>
      <c r="AD49" s="291"/>
      <c r="AE49" s="291"/>
      <c r="AF49" s="291"/>
      <c r="AG49" s="291"/>
      <c r="AH49" s="291"/>
      <c r="AI49" s="290"/>
      <c r="AJ49" s="291"/>
      <c r="AK49" s="1357"/>
      <c r="AM49" s="426"/>
      <c r="AN49" s="426" t="str">
        <f t="shared" si="1"/>
        <v>Добавить группу потребителей</v>
      </c>
      <c r="AO49" s="426"/>
      <c r="AP49" s="426"/>
    </row>
    <row r="50" spans="1:42" ht="21" customHeight="1">
      <c r="A50" s="1281" t="s">
        <v>227</v>
      </c>
      <c r="B50" s="1281" t="s">
        <v>228</v>
      </c>
      <c r="C50" s="1281" t="s">
        <v>229</v>
      </c>
      <c r="D50" s="1281" t="s">
        <v>1694</v>
      </c>
      <c r="E50" s="2077"/>
      <c r="F50" s="2077"/>
      <c r="G50" s="2077"/>
      <c r="H50" s="2076"/>
      <c r="I50" s="1281"/>
      <c r="J50" s="1281"/>
      <c r="K50" s="1281"/>
      <c r="L50" s="1282"/>
      <c r="M50" s="1283"/>
      <c r="N50" s="1283"/>
      <c r="O50" s="462"/>
      <c r="P50" s="281"/>
      <c r="Q50" s="299"/>
      <c r="R50" s="276"/>
      <c r="S50" s="1200"/>
      <c r="T50" s="296" t="s">
        <v>1683</v>
      </c>
      <c r="U50" s="291"/>
      <c r="V50" s="291"/>
      <c r="W50" s="291"/>
      <c r="X50" s="291"/>
      <c r="Y50" s="291"/>
      <c r="Z50" s="291"/>
      <c r="AA50" s="291"/>
      <c r="AB50" s="290"/>
      <c r="AC50" s="291"/>
      <c r="AD50" s="291"/>
      <c r="AE50" s="291"/>
      <c r="AF50" s="291"/>
      <c r="AG50" s="291"/>
      <c r="AH50" s="291"/>
      <c r="AI50" s="290"/>
      <c r="AJ50" s="291"/>
      <c r="AK50" s="217"/>
      <c r="AM50" s="426"/>
      <c r="AN50" s="426" t="str">
        <f t="shared" si="1"/>
        <v>Добавить наименование признака дифференциации</v>
      </c>
      <c r="AO50" s="426"/>
      <c r="AP50" s="426"/>
    </row>
    <row r="51" spans="1:42" s="1559" customFormat="1" ht="0" hidden="1" customHeight="1">
      <c r="A51" s="1262" t="s">
        <v>227</v>
      </c>
      <c r="B51" s="1262" t="s">
        <v>228</v>
      </c>
      <c r="C51" s="1234"/>
      <c r="D51" s="1234"/>
      <c r="E51" s="2077"/>
      <c r="F51" s="2076"/>
      <c r="G51" s="1234"/>
      <c r="H51" s="1234"/>
      <c r="I51" s="1234"/>
      <c r="J51" s="1234"/>
      <c r="K51" s="1234"/>
      <c r="L51" s="1373"/>
      <c r="M51" s="1241"/>
      <c r="N51" s="1241"/>
      <c r="P51" s="1236"/>
      <c r="Q51" s="1237"/>
      <c r="R51" s="1236"/>
      <c r="S51" s="1242"/>
      <c r="T51" s="1245" t="s">
        <v>434</v>
      </c>
      <c r="U51" s="1244"/>
      <c r="V51" s="1244"/>
      <c r="W51" s="1244"/>
      <c r="X51" s="1244"/>
      <c r="Y51" s="1244"/>
      <c r="Z51" s="1244"/>
      <c r="AA51" s="1244"/>
      <c r="AB51" s="1244"/>
      <c r="AC51" s="1244"/>
      <c r="AD51" s="1244"/>
      <c r="AE51" s="1244"/>
      <c r="AF51" s="1244"/>
      <c r="AG51" s="1244"/>
      <c r="AH51" s="1244"/>
      <c r="AI51" s="1244"/>
      <c r="AJ51" s="1244"/>
      <c r="AK51" s="1244"/>
      <c r="AM51" s="702"/>
      <c r="AN51" s="702" t="str">
        <f t="shared" si="1"/>
        <v>Добавить централизованную систему для дифференциации</v>
      </c>
      <c r="AO51" s="702"/>
      <c r="AP51" s="702"/>
    </row>
    <row r="52" spans="1:42" s="1559" customFormat="1" ht="0" hidden="1" customHeight="1">
      <c r="A52" s="1262" t="s">
        <v>227</v>
      </c>
      <c r="B52" s="1262"/>
      <c r="C52" s="1262"/>
      <c r="D52" s="1262"/>
      <c r="E52" s="2076"/>
      <c r="F52" s="1262"/>
      <c r="G52" s="1262"/>
      <c r="H52" s="1262"/>
      <c r="I52" s="1262"/>
      <c r="J52" s="1262"/>
      <c r="K52" s="1262"/>
      <c r="L52" s="1265"/>
      <c r="M52" s="1241"/>
      <c r="N52" s="1241"/>
      <c r="O52" s="444"/>
      <c r="P52" s="308"/>
      <c r="Q52" s="1263"/>
      <c r="R52" s="308"/>
      <c r="S52" s="1242"/>
      <c r="T52" s="1245" t="s">
        <v>435</v>
      </c>
      <c r="U52" s="1244"/>
      <c r="V52" s="1244"/>
      <c r="W52" s="1244"/>
      <c r="X52" s="1244"/>
      <c r="Y52" s="1244"/>
      <c r="Z52" s="1244"/>
      <c r="AA52" s="1244"/>
      <c r="AB52" s="1244"/>
      <c r="AC52" s="1244"/>
      <c r="AD52" s="1244"/>
      <c r="AE52" s="1244"/>
      <c r="AF52" s="1244"/>
      <c r="AG52" s="1244"/>
      <c r="AH52" s="1244"/>
      <c r="AI52" s="1244"/>
      <c r="AJ52" s="1244"/>
      <c r="AK52" s="1244"/>
      <c r="AM52" s="426"/>
      <c r="AN52" s="426" t="str">
        <f t="shared" si="1"/>
        <v>Добавить территорию для дифференциации</v>
      </c>
      <c r="AO52" s="426"/>
      <c r="AP52" s="426"/>
    </row>
    <row r="53" spans="1:42" s="1559" customFormat="1" ht="0" hidden="1" customHeight="1">
      <c r="A53" s="1234"/>
      <c r="B53" s="1234"/>
      <c r="C53" s="1234"/>
      <c r="D53" s="1234"/>
      <c r="E53" s="1262"/>
      <c r="F53" s="1234"/>
      <c r="G53" s="1234"/>
      <c r="H53" s="1234"/>
      <c r="I53" s="1234"/>
      <c r="J53" s="1234"/>
      <c r="K53" s="1234"/>
      <c r="L53" s="1373"/>
      <c r="M53" s="1241"/>
      <c r="N53" s="1241"/>
      <c r="P53" s="1236"/>
      <c r="Q53" s="1237"/>
      <c r="R53" s="1236"/>
      <c r="S53" s="1242"/>
      <c r="T53" s="1245" t="s">
        <v>436</v>
      </c>
      <c r="U53" s="1244"/>
      <c r="V53" s="1244"/>
      <c r="W53" s="1244"/>
      <c r="X53" s="1244"/>
      <c r="Y53" s="1244"/>
      <c r="Z53" s="1244"/>
      <c r="AA53" s="1244"/>
      <c r="AB53" s="1244"/>
      <c r="AC53" s="1244"/>
      <c r="AD53" s="1244"/>
      <c r="AE53" s="1244"/>
      <c r="AF53" s="1244"/>
      <c r="AG53" s="1244"/>
      <c r="AH53" s="1244"/>
      <c r="AI53" s="1244"/>
      <c r="AJ53" s="1244"/>
      <c r="AK53" s="1244"/>
      <c r="AM53" s="702"/>
      <c r="AN53" s="702" t="str">
        <f t="shared" si="1"/>
        <v>Добавить наименование тарифа</v>
      </c>
      <c r="AO53" s="702"/>
      <c r="AP53" s="702"/>
    </row>
    <row r="54" spans="1:42" ht="11.25" hidden="1" customHeight="1">
      <c r="M54" s="1062"/>
      <c r="N54" s="1062"/>
      <c r="O54" s="462"/>
      <c r="P54" s="1057"/>
      <c r="Q54" s="1057"/>
      <c r="R54" s="1057"/>
      <c r="S54" s="1057"/>
      <c r="AL54" s="1057"/>
      <c r="AM54" s="1057"/>
      <c r="AN54" s="1057"/>
      <c r="AO54" s="1057"/>
      <c r="AP54" s="1057"/>
    </row>
    <row r="55" spans="1:42" ht="14.25" hidden="1" customHeight="1">
      <c r="O55" s="462"/>
      <c r="S55" s="1166" t="s">
        <v>508</v>
      </c>
      <c r="T55" s="2075" t="s">
        <v>1691</v>
      </c>
      <c r="U55" s="2075"/>
      <c r="V55" s="2075"/>
      <c r="W55" s="2075"/>
      <c r="X55" s="2075"/>
      <c r="Y55" s="2075"/>
      <c r="Z55" s="2075"/>
      <c r="AA55" s="2075"/>
      <c r="AB55" s="2075"/>
      <c r="AC55" s="2075"/>
      <c r="AD55" s="2075"/>
      <c r="AE55" s="2075"/>
      <c r="AF55" s="2075"/>
      <c r="AG55" s="2075"/>
      <c r="AH55" s="2075"/>
      <c r="AI55" s="2075"/>
      <c r="AJ55" s="2075"/>
      <c r="AK55" s="2075"/>
    </row>
    <row r="56" spans="1:42" ht="14.25" hidden="1" customHeight="1">
      <c r="O56" s="462"/>
    </row>
    <row r="57" spans="1:42" ht="14.25" hidden="1" customHeight="1">
      <c r="O57" s="462"/>
      <c r="S57" s="1166" t="s">
        <v>508</v>
      </c>
      <c r="T57" s="2075" t="s">
        <v>1692</v>
      </c>
      <c r="U57" s="2075"/>
      <c r="V57" s="2075"/>
      <c r="W57" s="2075"/>
      <c r="X57" s="2075"/>
      <c r="Y57" s="2075"/>
      <c r="Z57" s="2075"/>
      <c r="AA57" s="2075"/>
      <c r="AB57" s="2075"/>
      <c r="AC57" s="2075"/>
      <c r="AD57" s="2075"/>
      <c r="AE57" s="2075"/>
      <c r="AF57" s="2075"/>
      <c r="AG57" s="2075"/>
      <c r="AH57" s="2075"/>
      <c r="AI57" s="2075"/>
      <c r="AJ57" s="2075"/>
      <c r="AK57" s="2075"/>
    </row>
  </sheetData>
  <sheetProtection formatColumns="0" formatRows="0" insertRows="0" deleteColumns="0" deleteRows="0" sort="0" autoFilter="0"/>
  <mergeCells count="101">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 ref="AK7:AK8"/>
    <mergeCell ref="AF15:AF16"/>
    <mergeCell ref="AG15:AG16"/>
    <mergeCell ref="AH15:AH16"/>
    <mergeCell ref="AI15:AI16"/>
    <mergeCell ref="Z7:Z8"/>
    <mergeCell ref="AA7:AA8"/>
    <mergeCell ref="AB7:AB8"/>
    <mergeCell ref="AF7:AF8"/>
    <mergeCell ref="AG7:AG8"/>
    <mergeCell ref="AH7:AH8"/>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46:AK47"/>
    <mergeCell ref="T55:AK55"/>
    <mergeCell ref="T57:AK57"/>
    <mergeCell ref="K46:K47"/>
    <mergeCell ref="Y46:Y47"/>
    <mergeCell ref="Z46:Z47"/>
    <mergeCell ref="AA46:AA47"/>
    <mergeCell ref="AB46:AB47"/>
    <mergeCell ref="AF46:AF47"/>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AP57"/>
  <sheetViews>
    <sheetView showGridLines="0" topLeftCell="P23" zoomScale="90" workbookViewId="0"/>
  </sheetViews>
  <sheetFormatPr defaultColWidth="10.5703125" defaultRowHeight="14.25" customHeight="1"/>
  <cols>
    <col min="1" max="1" width="10.5703125" style="1284" hidden="1"/>
    <col min="2" max="2" width="11" style="1284" hidden="1" customWidth="1"/>
    <col min="3" max="3" width="10.5703125" style="1284" hidden="1"/>
    <col min="4" max="4" width="11.85546875" style="1284" hidden="1" customWidth="1"/>
    <col min="5" max="5" width="10" style="1284" hidden="1" customWidth="1"/>
    <col min="6" max="6" width="8.7109375" style="1284" hidden="1" customWidth="1"/>
    <col min="7" max="7" width="7.5703125" style="1284" hidden="1" customWidth="1"/>
    <col min="8" max="8" width="11.42578125" style="1284" hidden="1" customWidth="1"/>
    <col min="9" max="9" width="14.140625" style="1284" hidden="1" customWidth="1"/>
    <col min="10" max="10" width="9.85546875" style="1284" hidden="1" customWidth="1"/>
    <col min="11" max="11" width="14.7109375" style="1284" hidden="1" customWidth="1"/>
    <col min="12" max="12" width="19.140625" style="1799" hidden="1" customWidth="1"/>
    <col min="13" max="14" width="12.28515625" style="1696" hidden="1" customWidth="1"/>
    <col min="15" max="15" width="23.42578125" style="1696" hidden="1" customWidth="1"/>
    <col min="16" max="16" width="3.7109375" style="1803" customWidth="1"/>
    <col min="17" max="18" width="3.7109375" style="265" customWidth="1"/>
    <col min="19" max="19" width="12.7109375" style="1806" customWidth="1"/>
    <col min="20" max="20" width="35.7109375" style="1552" customWidth="1"/>
    <col min="21" max="21" width="0.140625" style="1552" customWidth="1"/>
    <col min="22" max="24" width="24.7109375" style="1552" hidden="1" customWidth="1"/>
    <col min="25" max="25" width="11.7109375" style="1552" hidden="1" customWidth="1"/>
    <col min="26" max="26" width="3.7109375" style="1552" hidden="1" customWidth="1"/>
    <col min="27" max="27" width="11.7109375" style="1552" hidden="1" customWidth="1"/>
    <col min="28" max="28" width="8.5703125" style="1552" hidden="1" customWidth="1"/>
    <col min="29" max="31" width="24.7109375" style="1552" customWidth="1"/>
    <col min="32" max="32" width="11.7109375" style="1552" customWidth="1"/>
    <col min="33" max="33" width="3.7109375" style="1552" customWidth="1"/>
    <col min="34" max="34" width="11.7109375" style="1552" customWidth="1"/>
    <col min="35" max="35" width="8.5703125" style="1552" hidden="1" customWidth="1"/>
    <col min="36" max="36" width="4.7109375" style="1552" customWidth="1"/>
    <col min="37" max="37" width="115.7109375" style="1552" customWidth="1"/>
    <col min="38" max="39" width="10.5703125" style="1559"/>
    <col min="40" max="40" width="11.140625" style="1559" customWidth="1"/>
    <col min="41" max="42" width="10.5703125" style="1559"/>
  </cols>
  <sheetData>
    <row r="1" spans="1:42" ht="14.25" hidden="1" customHeight="1">
      <c r="X1" s="249"/>
      <c r="Y1" s="249"/>
      <c r="AE1" s="249"/>
      <c r="AF1" s="249"/>
    </row>
    <row r="2" spans="1:42" ht="23.25" hidden="1" customHeight="1">
      <c r="A2" s="1281"/>
      <c r="B2" s="1281"/>
      <c r="C2" s="1281"/>
      <c r="D2" s="1281"/>
      <c r="E2" s="2076">
        <v>1</v>
      </c>
      <c r="F2" s="1281"/>
      <c r="G2" s="1281"/>
      <c r="H2" s="1281"/>
      <c r="I2" s="1281"/>
      <c r="J2" s="1281"/>
      <c r="K2" s="1281"/>
      <c r="L2" s="1282"/>
      <c r="M2" s="1283"/>
      <c r="N2" s="1283"/>
      <c r="O2" s="1283"/>
      <c r="P2" s="282"/>
      <c r="Q2" s="281"/>
      <c r="R2" s="276"/>
      <c r="S2" s="1372" t="e">
        <f>INDEX(PT_DIFFERENTIATION_NUM_NTAR,MATCH(A2,PT_DIFFERENTIATION_NTAR_ID,0))</f>
        <v>#N/A</v>
      </c>
      <c r="T2" s="212" t="s">
        <v>128</v>
      </c>
      <c r="U2" s="214"/>
      <c r="V2" s="2070"/>
      <c r="W2" s="2071"/>
      <c r="X2" s="2071"/>
      <c r="Y2" s="2071"/>
      <c r="Z2" s="2071"/>
      <c r="AA2" s="2071"/>
      <c r="AB2" s="2072"/>
      <c r="AC2" s="2070" t="e">
        <f>INDEX(PT_DIFFERENTIATION_NTAR,MATCH(A2,PT_DIFFERENTIATION_NTAR_ID,0))</f>
        <v>#N/A</v>
      </c>
      <c r="AD2" s="2071"/>
      <c r="AE2" s="2071"/>
      <c r="AF2" s="2071"/>
      <c r="AG2" s="2071"/>
      <c r="AH2" s="2071"/>
      <c r="AI2" s="2071"/>
      <c r="AJ2" s="2072"/>
      <c r="AK2" s="117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426"/>
      <c r="AN2" s="426" t="str">
        <f t="shared" ref="AN2:AN13" si="0">IF(T2="","",T2)</f>
        <v>Наименование тарифа</v>
      </c>
      <c r="AO2" s="426"/>
      <c r="AP2" s="426"/>
    </row>
    <row r="3" spans="1:42" ht="23.25" hidden="1" customHeight="1">
      <c r="A3" s="1281"/>
      <c r="B3" s="1281"/>
      <c r="C3" s="1281"/>
      <c r="D3" s="1281"/>
      <c r="E3" s="2077"/>
      <c r="F3" s="2076">
        <v>1</v>
      </c>
      <c r="G3" s="1281"/>
      <c r="H3" s="1281"/>
      <c r="I3" s="1281"/>
      <c r="J3" s="1281"/>
      <c r="K3" s="1281"/>
      <c r="L3" s="1282"/>
      <c r="M3" s="1283"/>
      <c r="N3" s="1283"/>
      <c r="O3" s="1283"/>
      <c r="P3" s="1368"/>
      <c r="Q3" s="273"/>
      <c r="R3" s="274"/>
      <c r="S3" s="1372" t="e">
        <f>INDEX(PT_DIFFERENTIATION_NUM_TER,MATCH(B3,PT_DIFFERENTIATION_TER_ID,0))</f>
        <v>#N/A</v>
      </c>
      <c r="T3" s="224" t="s">
        <v>460</v>
      </c>
      <c r="U3" s="214"/>
      <c r="V3" s="2070"/>
      <c r="W3" s="2071"/>
      <c r="X3" s="2071"/>
      <c r="Y3" s="2071"/>
      <c r="Z3" s="2071"/>
      <c r="AA3" s="2071"/>
      <c r="AB3" s="2072"/>
      <c r="AC3" s="2070" t="e">
        <f>INDEX(PT_DIFFERENTIATION_TER,MATCH(B3,PT_DIFFERENTIATION_TER_ID,0))</f>
        <v>#N/A</v>
      </c>
      <c r="AD3" s="2071"/>
      <c r="AE3" s="2071"/>
      <c r="AF3" s="2071"/>
      <c r="AG3" s="2071"/>
      <c r="AH3" s="2071"/>
      <c r="AI3" s="2071"/>
      <c r="AJ3" s="2072"/>
      <c r="AK3" s="1179" t="s">
        <v>461</v>
      </c>
      <c r="AM3" s="426"/>
      <c r="AN3" s="426" t="str">
        <f t="shared" si="0"/>
        <v>Территория действия тарифа</v>
      </c>
      <c r="AO3" s="426"/>
      <c r="AP3" s="426"/>
    </row>
    <row r="4" spans="1:42" ht="23.25" hidden="1" customHeight="1">
      <c r="A4" s="1281"/>
      <c r="B4" s="1281"/>
      <c r="C4" s="1281"/>
      <c r="D4" s="1281"/>
      <c r="E4" s="2077"/>
      <c r="F4" s="2077"/>
      <c r="G4" s="2076">
        <v>1</v>
      </c>
      <c r="H4" s="1281"/>
      <c r="I4" s="1281"/>
      <c r="J4" s="1281"/>
      <c r="K4" s="1281"/>
      <c r="L4" s="1282"/>
      <c r="M4" s="1283"/>
      <c r="N4" s="1283"/>
      <c r="O4" s="1283"/>
      <c r="P4" s="275"/>
      <c r="Q4" s="273"/>
      <c r="R4" s="274"/>
      <c r="S4" s="1372" t="e">
        <f>INDEX(PT_DIFFERENTIATION_NUM_CS,MATCH(C4,PT_DIFFERENTIATION_CS_ID,0))</f>
        <v>#N/A</v>
      </c>
      <c r="T4" s="225" t="s">
        <v>1676</v>
      </c>
      <c r="U4" s="214"/>
      <c r="V4" s="2070"/>
      <c r="W4" s="2071"/>
      <c r="X4" s="2071"/>
      <c r="Y4" s="2071"/>
      <c r="Z4" s="2071"/>
      <c r="AA4" s="2071"/>
      <c r="AB4" s="2072"/>
      <c r="AC4" s="2070" t="e">
        <f>INDEX(PT_DIFFERENTIATION_CS,MATCH(C4,PT_DIFFERENTIATION_CS_ID,0))</f>
        <v>#N/A</v>
      </c>
      <c r="AD4" s="2071"/>
      <c r="AE4" s="2071"/>
      <c r="AF4" s="2071"/>
      <c r="AG4" s="2071"/>
      <c r="AH4" s="2071"/>
      <c r="AI4" s="2071"/>
      <c r="AJ4" s="2072"/>
      <c r="AK4" s="1179" t="s">
        <v>1677</v>
      </c>
      <c r="AM4" s="426"/>
      <c r="AN4" s="426" t="str">
        <f t="shared" si="0"/>
        <v>Наименование централизованной системы холодного водоснабжения</v>
      </c>
      <c r="AO4" s="426"/>
      <c r="AP4" s="426"/>
    </row>
    <row r="5" spans="1:42" ht="23.25" hidden="1" customHeight="1">
      <c r="A5" s="1281"/>
      <c r="B5" s="1281"/>
      <c r="C5" s="1281"/>
      <c r="D5" s="1281"/>
      <c r="E5" s="2077"/>
      <c r="F5" s="2077"/>
      <c r="G5" s="2077"/>
      <c r="H5" s="2077"/>
      <c r="I5" s="2078" t="e">
        <f>S4&amp;".1"</f>
        <v>#N/A</v>
      </c>
      <c r="J5" s="1281"/>
      <c r="K5" s="1281"/>
      <c r="L5" s="1282"/>
      <c r="P5" s="1995">
        <v>1</v>
      </c>
      <c r="Q5" s="1365"/>
      <c r="R5" s="277"/>
      <c r="S5" s="1372" t="e">
        <f>$I5</f>
        <v>#N/A</v>
      </c>
      <c r="T5" s="200" t="s">
        <v>1678</v>
      </c>
      <c r="U5" s="214"/>
      <c r="V5" s="2176"/>
      <c r="W5" s="2177"/>
      <c r="X5" s="2177"/>
      <c r="Y5" s="2177"/>
      <c r="Z5" s="2177"/>
      <c r="AA5" s="2177"/>
      <c r="AB5" s="2178"/>
      <c r="AC5" s="2179"/>
      <c r="AD5" s="2180"/>
      <c r="AE5" s="2180"/>
      <c r="AF5" s="2180"/>
      <c r="AG5" s="2180"/>
      <c r="AH5" s="2180"/>
      <c r="AI5" s="2180"/>
      <c r="AJ5" s="2181"/>
      <c r="AK5" s="1179" t="s">
        <v>1679</v>
      </c>
      <c r="AM5" s="426"/>
      <c r="AN5" s="426" t="str">
        <f t="shared" si="0"/>
        <v>Наименование признака дифференциации</v>
      </c>
      <c r="AO5" s="426"/>
      <c r="AP5" s="426"/>
    </row>
    <row r="6" spans="1:42" ht="23.25" hidden="1" customHeight="1">
      <c r="A6" s="1281"/>
      <c r="B6" s="1281"/>
      <c r="C6" s="1281"/>
      <c r="D6" s="1281"/>
      <c r="E6" s="2077"/>
      <c r="F6" s="2077"/>
      <c r="G6" s="2077"/>
      <c r="H6" s="2077"/>
      <c r="I6" s="2079"/>
      <c r="J6" s="2078" t="e">
        <f>I5&amp;".1"</f>
        <v>#N/A</v>
      </c>
      <c r="K6" s="1281"/>
      <c r="L6" s="1282" t="s">
        <v>469</v>
      </c>
      <c r="P6" s="1995"/>
      <c r="Q6" s="1995">
        <v>1</v>
      </c>
      <c r="R6" s="278"/>
      <c r="S6" s="1372" t="e">
        <f>$J6</f>
        <v>#N/A</v>
      </c>
      <c r="T6" s="201" t="s">
        <v>470</v>
      </c>
      <c r="U6" s="214"/>
      <c r="V6" s="2064"/>
      <c r="W6" s="2065"/>
      <c r="X6" s="2065"/>
      <c r="Y6" s="2065"/>
      <c r="Z6" s="2065"/>
      <c r="AA6" s="2065"/>
      <c r="AB6" s="2066"/>
      <c r="AC6" s="2064"/>
      <c r="AD6" s="2065"/>
      <c r="AE6" s="2065"/>
      <c r="AF6" s="2065"/>
      <c r="AG6" s="2065"/>
      <c r="AH6" s="2065"/>
      <c r="AI6" s="2065"/>
      <c r="AJ6" s="2066"/>
      <c r="AK6" s="1228" t="s">
        <v>1680</v>
      </c>
      <c r="AM6" s="426"/>
      <c r="AN6" s="426" t="str">
        <f t="shared" si="0"/>
        <v>Группа потребителей</v>
      </c>
      <c r="AO6" s="426"/>
      <c r="AP6" s="426"/>
    </row>
    <row r="7" spans="1:42" ht="23.25" hidden="1" customHeight="1">
      <c r="A7" s="1281"/>
      <c r="B7" s="1281"/>
      <c r="C7" s="1281"/>
      <c r="D7" s="1281"/>
      <c r="E7" s="2077"/>
      <c r="F7" s="2077"/>
      <c r="G7" s="2077"/>
      <c r="H7" s="2077"/>
      <c r="I7" s="2079"/>
      <c r="J7" s="2079"/>
      <c r="K7" s="2078" t="e">
        <f>J6&amp;".1"</f>
        <v>#N/A</v>
      </c>
      <c r="L7" s="1282"/>
      <c r="P7" s="1995"/>
      <c r="Q7" s="1995"/>
      <c r="R7" s="278">
        <v>1</v>
      </c>
      <c r="S7" s="1372" t="e">
        <f>$K7</f>
        <v>#N/A</v>
      </c>
      <c r="T7" s="1354"/>
      <c r="U7" s="214"/>
      <c r="V7" s="664"/>
      <c r="W7" s="664"/>
      <c r="X7" s="1178"/>
      <c r="Y7" s="2080"/>
      <c r="Z7" s="1885" t="s">
        <v>59</v>
      </c>
      <c r="AA7" s="2080"/>
      <c r="AB7" s="1885" t="s">
        <v>59</v>
      </c>
      <c r="AC7" s="664"/>
      <c r="AD7" s="664"/>
      <c r="AE7" s="1178"/>
      <c r="AF7" s="2080"/>
      <c r="AG7" s="1885" t="s">
        <v>59</v>
      </c>
      <c r="AH7" s="2082"/>
      <c r="AI7" s="1885" t="s">
        <v>59</v>
      </c>
      <c r="AJ7" s="1355"/>
      <c r="AK7" s="2182"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437" t="e">
        <f ca="1">STRCHECKDATE(V8:AJ8)</f>
        <v>#NAME?</v>
      </c>
      <c r="AM7" s="426"/>
      <c r="AN7" s="426" t="str">
        <f t="shared" si="0"/>
        <v/>
      </c>
      <c r="AO7" s="426"/>
      <c r="AP7" s="426"/>
    </row>
    <row r="8" spans="1:42" ht="14.25" hidden="1" customHeight="1">
      <c r="A8" s="1281"/>
      <c r="B8" s="1281"/>
      <c r="C8" s="1281"/>
      <c r="D8" s="1281"/>
      <c r="E8" s="2077"/>
      <c r="F8" s="2077"/>
      <c r="G8" s="2077"/>
      <c r="H8" s="2077"/>
      <c r="I8" s="2079"/>
      <c r="J8" s="2079"/>
      <c r="K8" s="2078"/>
      <c r="L8" s="1282"/>
      <c r="P8" s="1995"/>
      <c r="Q8" s="1995"/>
      <c r="R8" s="278"/>
      <c r="S8" s="1371"/>
      <c r="T8" s="214"/>
      <c r="U8" s="214"/>
      <c r="V8" s="246"/>
      <c r="W8" s="246"/>
      <c r="X8" s="250" t="str">
        <f>Y7&amp;"-"&amp;AA7</f>
        <v>-</v>
      </c>
      <c r="Y8" s="2081"/>
      <c r="Z8" s="1885"/>
      <c r="AA8" s="2081"/>
      <c r="AB8" s="1885"/>
      <c r="AC8" s="246"/>
      <c r="AD8" s="246"/>
      <c r="AE8" s="250" t="str">
        <f>AF7&amp;"-"&amp;AH7</f>
        <v>-</v>
      </c>
      <c r="AF8" s="2081"/>
      <c r="AG8" s="1885"/>
      <c r="AH8" s="2083"/>
      <c r="AI8" s="1885"/>
      <c r="AJ8" s="1356"/>
      <c r="AK8" s="2182"/>
      <c r="AM8" s="426"/>
      <c r="AN8" s="426" t="str">
        <f t="shared" si="0"/>
        <v/>
      </c>
      <c r="AO8" s="426"/>
      <c r="AP8" s="426"/>
    </row>
    <row r="9" spans="1:42" ht="21" hidden="1" customHeight="1">
      <c r="A9" s="1281"/>
      <c r="B9" s="1281"/>
      <c r="C9" s="1281"/>
      <c r="D9" s="1281"/>
      <c r="E9" s="2077"/>
      <c r="F9" s="2077"/>
      <c r="G9" s="2077"/>
      <c r="H9" s="2077"/>
      <c r="I9" s="2079"/>
      <c r="J9" s="2078"/>
      <c r="K9" s="1281"/>
      <c r="L9" s="1282"/>
      <c r="P9" s="1995"/>
      <c r="Q9" s="1995"/>
      <c r="R9" s="277"/>
      <c r="S9" s="1200"/>
      <c r="T9" s="202" t="s">
        <v>1681</v>
      </c>
      <c r="U9" s="291"/>
      <c r="V9" s="291"/>
      <c r="W9" s="291"/>
      <c r="X9" s="291"/>
      <c r="Y9" s="291"/>
      <c r="Z9" s="291"/>
      <c r="AA9" s="291"/>
      <c r="AB9" s="291"/>
      <c r="AC9" s="291"/>
      <c r="AD9" s="291"/>
      <c r="AE9" s="291"/>
      <c r="AF9" s="291"/>
      <c r="AG9" s="291"/>
      <c r="AH9" s="291"/>
      <c r="AI9" s="291"/>
      <c r="AJ9" s="291"/>
      <c r="AK9" s="1179" t="s">
        <v>1682</v>
      </c>
      <c r="AM9" s="426"/>
      <c r="AN9" s="426" t="str">
        <f t="shared" si="0"/>
        <v>Добавить значение признака дифференциации</v>
      </c>
      <c r="AO9" s="426"/>
      <c r="AP9" s="426"/>
    </row>
    <row r="10" spans="1:42" ht="21" hidden="1" customHeight="1">
      <c r="A10" s="1281"/>
      <c r="B10" s="1281"/>
      <c r="C10" s="1281"/>
      <c r="D10" s="1281"/>
      <c r="E10" s="2077"/>
      <c r="F10" s="2077"/>
      <c r="G10" s="2077"/>
      <c r="H10" s="2077"/>
      <c r="I10" s="2078"/>
      <c r="J10" s="1281"/>
      <c r="K10" s="1281"/>
      <c r="L10" s="1282"/>
      <c r="P10" s="1995"/>
      <c r="Q10" s="1365"/>
      <c r="R10" s="277"/>
      <c r="S10" s="1200"/>
      <c r="T10" s="288" t="s">
        <v>475</v>
      </c>
      <c r="U10" s="291"/>
      <c r="V10" s="291"/>
      <c r="W10" s="291"/>
      <c r="X10" s="291"/>
      <c r="Y10" s="291"/>
      <c r="Z10" s="291"/>
      <c r="AA10" s="291"/>
      <c r="AB10" s="290"/>
      <c r="AC10" s="291"/>
      <c r="AD10" s="291"/>
      <c r="AE10" s="291"/>
      <c r="AF10" s="291"/>
      <c r="AG10" s="291"/>
      <c r="AH10" s="291"/>
      <c r="AI10" s="290"/>
      <c r="AJ10" s="291"/>
      <c r="AK10" s="1357"/>
      <c r="AM10" s="426"/>
      <c r="AN10" s="426" t="str">
        <f t="shared" si="0"/>
        <v>Добавить группу потребителей</v>
      </c>
      <c r="AO10" s="426"/>
      <c r="AP10" s="426"/>
    </row>
    <row r="11" spans="1:42" ht="21" hidden="1" customHeight="1">
      <c r="A11" s="1281"/>
      <c r="B11" s="1281"/>
      <c r="C11" s="1281"/>
      <c r="D11" s="1281"/>
      <c r="E11" s="2077"/>
      <c r="F11" s="2077"/>
      <c r="G11" s="2077"/>
      <c r="H11" s="2076"/>
      <c r="I11" s="1281"/>
      <c r="J11" s="1281"/>
      <c r="K11" s="1281"/>
      <c r="L11" s="1282"/>
      <c r="M11" s="1283"/>
      <c r="N11" s="1283"/>
      <c r="O11" s="462"/>
      <c r="P11" s="281"/>
      <c r="Q11" s="299"/>
      <c r="R11" s="276"/>
      <c r="S11" s="1200"/>
      <c r="T11" s="296" t="s">
        <v>1683</v>
      </c>
      <c r="U11" s="291"/>
      <c r="V11" s="291"/>
      <c r="W11" s="291"/>
      <c r="X11" s="291"/>
      <c r="Y11" s="291"/>
      <c r="Z11" s="291"/>
      <c r="AA11" s="291"/>
      <c r="AB11" s="290"/>
      <c r="AC11" s="291"/>
      <c r="AD11" s="291"/>
      <c r="AE11" s="291"/>
      <c r="AF11" s="291"/>
      <c r="AG11" s="291"/>
      <c r="AH11" s="291"/>
      <c r="AI11" s="290"/>
      <c r="AJ11" s="291"/>
      <c r="AK11" s="217"/>
      <c r="AM11" s="426"/>
      <c r="AN11" s="426" t="str">
        <f t="shared" si="0"/>
        <v>Добавить наименование признака дифференциации</v>
      </c>
      <c r="AO11" s="426"/>
      <c r="AP11" s="426"/>
    </row>
    <row r="12" spans="1:42" s="1559" customFormat="1" ht="14.25" hidden="1" customHeight="1">
      <c r="A12" s="1262"/>
      <c r="B12" s="1262"/>
      <c r="C12" s="1234"/>
      <c r="D12" s="1234"/>
      <c r="E12" s="2077"/>
      <c r="F12" s="2076"/>
      <c r="G12" s="1234"/>
      <c r="H12" s="1234"/>
      <c r="I12" s="1234"/>
      <c r="J12" s="1234"/>
      <c r="K12" s="1234"/>
      <c r="L12" s="1373"/>
      <c r="M12" s="1241"/>
      <c r="N12" s="1241"/>
      <c r="P12" s="1236"/>
      <c r="Q12" s="1237"/>
      <c r="R12" s="1236"/>
      <c r="S12" s="1242"/>
      <c r="T12" s="1245" t="s">
        <v>434</v>
      </c>
      <c r="U12" s="1244"/>
      <c r="V12" s="1244"/>
      <c r="W12" s="1244"/>
      <c r="X12" s="1244"/>
      <c r="Y12" s="1244"/>
      <c r="Z12" s="1244"/>
      <c r="AA12" s="1244"/>
      <c r="AB12" s="1244"/>
      <c r="AC12" s="1244"/>
      <c r="AD12" s="1244"/>
      <c r="AE12" s="1244"/>
      <c r="AF12" s="1244"/>
      <c r="AG12" s="1244"/>
      <c r="AH12" s="1244"/>
      <c r="AI12" s="1244"/>
      <c r="AJ12" s="1244"/>
      <c r="AK12" s="1244"/>
      <c r="AM12" s="702"/>
      <c r="AN12" s="702" t="str">
        <f t="shared" si="0"/>
        <v>Добавить централизованную систему для дифференциации</v>
      </c>
      <c r="AO12" s="702"/>
      <c r="AP12" s="702"/>
    </row>
    <row r="13" spans="1:42" s="1559" customFormat="1" ht="14.25" hidden="1" customHeight="1">
      <c r="A13" s="1262"/>
      <c r="B13" s="1262"/>
      <c r="C13" s="1262"/>
      <c r="D13" s="1262"/>
      <c r="E13" s="2076"/>
      <c r="F13" s="1262"/>
      <c r="G13" s="1262"/>
      <c r="H13" s="1262"/>
      <c r="I13" s="1262"/>
      <c r="J13" s="1262"/>
      <c r="K13" s="1262"/>
      <c r="L13" s="1265"/>
      <c r="M13" s="1241"/>
      <c r="N13" s="1241"/>
      <c r="O13" s="444"/>
      <c r="P13" s="308"/>
      <c r="Q13" s="1263"/>
      <c r="R13" s="308"/>
      <c r="S13" s="1242"/>
      <c r="T13" s="1245" t="s">
        <v>435</v>
      </c>
      <c r="U13" s="1244"/>
      <c r="V13" s="1244"/>
      <c r="W13" s="1244"/>
      <c r="X13" s="1244"/>
      <c r="Y13" s="1244"/>
      <c r="Z13" s="1244"/>
      <c r="AA13" s="1244"/>
      <c r="AB13" s="1244"/>
      <c r="AC13" s="1244"/>
      <c r="AD13" s="1244"/>
      <c r="AE13" s="1244"/>
      <c r="AF13" s="1244"/>
      <c r="AG13" s="1244"/>
      <c r="AH13" s="1244"/>
      <c r="AI13" s="1244"/>
      <c r="AJ13" s="1244"/>
      <c r="AK13" s="1244"/>
      <c r="AM13" s="426"/>
      <c r="AN13" s="426" t="str">
        <f t="shared" si="0"/>
        <v>Добавить территорию для дифференциации</v>
      </c>
      <c r="AO13" s="426"/>
      <c r="AP13" s="426"/>
    </row>
    <row r="14" spans="1:42" ht="14.25" hidden="1" customHeight="1">
      <c r="AB14" s="249"/>
      <c r="AI14" s="249"/>
    </row>
    <row r="15" spans="1:42" ht="14.25" hidden="1" customHeight="1">
      <c r="AC15" s="1278"/>
      <c r="AD15" s="1278"/>
      <c r="AE15" s="1279"/>
      <c r="AF15" s="2074"/>
      <c r="AG15" s="2073" t="s">
        <v>59</v>
      </c>
      <c r="AH15" s="2074"/>
      <c r="AI15" s="2073" t="s">
        <v>59</v>
      </c>
    </row>
    <row r="16" spans="1:42" ht="14.25" hidden="1" customHeight="1">
      <c r="AC16" s="1278"/>
      <c r="AD16" s="1278"/>
      <c r="AE16" s="250" t="str">
        <f>AF15&amp;"-"&amp;AH15</f>
        <v>-</v>
      </c>
      <c r="AF16" s="2073"/>
      <c r="AG16" s="2073"/>
      <c r="AH16" s="2073"/>
      <c r="AI16" s="2073"/>
    </row>
    <row r="17" spans="1:42" ht="14.25" hidden="1" customHeight="1">
      <c r="AI17" s="249"/>
    </row>
    <row r="18" spans="1:42" s="1284" customFormat="1" ht="22.5" hidden="1" customHeight="1">
      <c r="L18" s="1362"/>
      <c r="M18" s="1280"/>
      <c r="N18" s="1280"/>
      <c r="O18" s="1285" t="s">
        <v>477</v>
      </c>
      <c r="P18" s="1280"/>
      <c r="Q18" s="1289"/>
      <c r="R18" s="1289"/>
      <c r="S18" s="645"/>
      <c r="Y18" s="1285"/>
      <c r="AA18" s="1285"/>
      <c r="AF18" s="1285"/>
      <c r="AH18" s="1285"/>
      <c r="AL18" s="437"/>
      <c r="AM18" s="437"/>
      <c r="AN18" s="437"/>
      <c r="AO18" s="437"/>
      <c r="AP18" s="437"/>
    </row>
    <row r="19" spans="1:42" s="1284" customFormat="1" ht="14.25" hidden="1" customHeight="1">
      <c r="L19" s="1362"/>
      <c r="M19" s="1280"/>
      <c r="N19" s="1280"/>
      <c r="O19" s="1280"/>
      <c r="P19" s="1280"/>
      <c r="Q19" s="1289"/>
      <c r="R19" s="1289"/>
      <c r="S19" s="645"/>
      <c r="AL19" s="437"/>
      <c r="AM19" s="437"/>
      <c r="AN19" s="437"/>
      <c r="AO19" s="437"/>
      <c r="AP19" s="437"/>
    </row>
    <row r="20" spans="1:42" s="1284" customFormat="1" ht="12" hidden="1" customHeight="1">
      <c r="L20" s="1362"/>
      <c r="M20" s="1280"/>
      <c r="N20" s="1280"/>
      <c r="O20" s="1282" t="s">
        <v>478</v>
      </c>
      <c r="P20" s="1280"/>
      <c r="Q20" s="1358"/>
      <c r="R20" s="1358"/>
      <c r="S20" s="645"/>
      <c r="T20" s="1062" t="s">
        <v>479</v>
      </c>
      <c r="Z20" s="104" t="s">
        <v>480</v>
      </c>
      <c r="AB20" s="104" t="s">
        <v>481</v>
      </c>
      <c r="AC20" s="1062" t="s">
        <v>479</v>
      </c>
      <c r="AG20" s="104" t="s">
        <v>482</v>
      </c>
      <c r="AI20" s="104" t="s">
        <v>481</v>
      </c>
    </row>
    <row r="21" spans="1:42" ht="14.25" hidden="1" customHeight="1">
      <c r="O21" s="1282"/>
    </row>
    <row r="22" spans="1:42" ht="14.25" hidden="1" customHeight="1">
      <c r="O22" s="1282"/>
    </row>
    <row r="23" spans="1:42" ht="14.25" customHeight="1">
      <c r="Q23" s="300"/>
      <c r="R23" s="300"/>
      <c r="S23" s="1197"/>
      <c r="T23" s="286"/>
      <c r="U23" s="286"/>
      <c r="V23" s="435"/>
      <c r="W23" s="435"/>
      <c r="X23" s="435"/>
      <c r="Y23" s="435"/>
      <c r="Z23" s="435"/>
      <c r="AA23" s="435"/>
      <c r="AB23" s="435"/>
      <c r="AC23" s="435"/>
      <c r="AD23" s="435"/>
      <c r="AE23" s="435"/>
      <c r="AF23" s="435"/>
      <c r="AG23" s="435"/>
      <c r="AH23" s="435"/>
      <c r="AI23" s="435"/>
    </row>
    <row r="24" spans="1:42" ht="32.25" customHeight="1">
      <c r="Q24" s="300"/>
      <c r="R24" s="300"/>
      <c r="S24" s="2101" t="str">
        <f>IF(TEMPLATE_GROUP="P",PT_P_FORM_COLDVSNA_4_NAME_FORM,PT_R_FORM_COLDVSNA_16_NAME_FORM)</f>
        <v>Форма 15. Информация о предложении расчетной величины тарифов организации холодного водоснабжения об установлении тарифов в сфере холодного водоснабжения на очередной период регулирования &lt;1&gt;</v>
      </c>
      <c r="T24" s="2101"/>
      <c r="U24" s="2101"/>
      <c r="V24" s="2101"/>
      <c r="W24" s="2101"/>
      <c r="X24" s="2101"/>
      <c r="Y24" s="2101"/>
      <c r="Z24" s="2101"/>
      <c r="AA24" s="2101"/>
      <c r="AB24" s="2101"/>
      <c r="AC24" s="2101"/>
      <c r="AD24" s="2101"/>
      <c r="AE24" s="2101"/>
      <c r="AF24" s="2101"/>
      <c r="AG24" s="2101"/>
      <c r="AH24" s="2101"/>
      <c r="AI24" s="1154"/>
    </row>
    <row r="25" spans="1:42" ht="14.25" customHeight="1">
      <c r="Q25" s="300"/>
      <c r="R25" s="300"/>
      <c r="S25" s="1961" t="str">
        <f>IF(org=0,"Не определено",org)</f>
        <v>АО СЗ "КМАпроектжилстрой"</v>
      </c>
      <c r="T25" s="1961"/>
      <c r="U25" s="1961"/>
      <c r="V25" s="1961"/>
      <c r="W25" s="1961"/>
      <c r="X25" s="1961"/>
      <c r="Y25" s="1961"/>
      <c r="Z25" s="1961"/>
      <c r="AA25" s="1961"/>
      <c r="AB25" s="1961"/>
      <c r="AC25" s="1961"/>
      <c r="AD25" s="1961"/>
      <c r="AE25" s="1961"/>
      <c r="AF25" s="1961"/>
      <c r="AG25" s="1961"/>
      <c r="AH25" s="1961"/>
      <c r="AI25" s="1154"/>
    </row>
    <row r="26" spans="1:42" ht="14.25" hidden="1" customHeight="1">
      <c r="Q26" s="300"/>
      <c r="R26" s="300"/>
      <c r="S26" s="1197"/>
      <c r="T26" s="286"/>
      <c r="U26" s="286"/>
      <c r="V26" s="242"/>
      <c r="W26" s="242"/>
      <c r="X26" s="242"/>
      <c r="Y26" s="242"/>
      <c r="Z26" s="242"/>
      <c r="AA26" s="242"/>
      <c r="AB26" s="242"/>
      <c r="AC26" s="242"/>
      <c r="AD26" s="242"/>
      <c r="AE26" s="242"/>
      <c r="AF26" s="242"/>
      <c r="AG26" s="242"/>
      <c r="AH26" s="242"/>
      <c r="AI26" s="242"/>
      <c r="AJ26" s="435"/>
    </row>
    <row r="27" spans="1:42" s="1773" customFormat="1" ht="25.5" hidden="1" customHeight="1">
      <c r="A27" s="1286"/>
      <c r="B27" s="1286"/>
      <c r="C27" s="1286"/>
      <c r="D27" s="1286"/>
      <c r="E27" s="1286"/>
      <c r="F27" s="1286"/>
      <c r="G27" s="1286"/>
      <c r="H27" s="1286"/>
      <c r="I27" s="1286"/>
      <c r="J27" s="1286"/>
      <c r="K27" s="1286"/>
      <c r="L27" s="1287"/>
      <c r="M27" s="1286"/>
      <c r="N27" s="1286"/>
      <c r="O27" s="1286"/>
      <c r="S27" s="2067" t="s">
        <v>40</v>
      </c>
      <c r="T27" s="2067"/>
      <c r="U27" s="1290"/>
      <c r="V27" s="2069" t="str">
        <f>IF(TITLE_NAME_OR_PR_CHANGE="",IF(TITLE_NAME_OR_PR="","",TITLE_NAME_OR_PR),TITLE_NAME_OR_PR_CHANGE)</f>
        <v/>
      </c>
      <c r="W27" s="2069"/>
      <c r="X27" s="2069"/>
      <c r="Y27" s="2069"/>
      <c r="Z27" s="2069"/>
      <c r="AA27" s="2069"/>
      <c r="AB27" s="248"/>
      <c r="AC27" s="2069" t="str">
        <f>IF(TITLE_NAME_OR_PR_CHANGE="",IF(TITLE_NAME_OR_PR="","",TITLE_NAME_OR_PR),TITLE_NAME_OR_PR_CHANGE)</f>
        <v/>
      </c>
      <c r="AD27" s="2069"/>
      <c r="AE27" s="2069"/>
      <c r="AF27" s="2069"/>
      <c r="AG27" s="2069"/>
      <c r="AH27" s="2069"/>
      <c r="AI27" s="248"/>
      <c r="AJ27" s="248"/>
      <c r="AK27" s="196"/>
      <c r="AL27" s="292"/>
      <c r="AM27" s="292"/>
      <c r="AN27" s="292"/>
      <c r="AO27" s="292"/>
      <c r="AP27" s="292"/>
    </row>
    <row r="28" spans="1:42" s="1773" customFormat="1" ht="18.75" hidden="1" customHeight="1">
      <c r="A28" s="1286"/>
      <c r="B28" s="1286"/>
      <c r="C28" s="1286"/>
      <c r="D28" s="1286"/>
      <c r="E28" s="1286"/>
      <c r="F28" s="1286"/>
      <c r="G28" s="1286"/>
      <c r="H28" s="1286"/>
      <c r="I28" s="1286"/>
      <c r="J28" s="1286"/>
      <c r="K28" s="1286"/>
      <c r="L28" s="1287"/>
      <c r="M28" s="1286"/>
      <c r="N28" s="1286"/>
      <c r="O28" s="1286"/>
      <c r="S28" s="2067" t="s">
        <v>483</v>
      </c>
      <c r="T28" s="2067"/>
      <c r="U28" s="1290"/>
      <c r="V28" s="2068" t="str">
        <f>IF(TITLE_DATE_CHANGE_PERIOD="",IF(TITLE_DATE_PR="","",TITLE_DATE_PR),TITLE_DATE_CHANGE_PERIOD)</f>
        <v/>
      </c>
      <c r="W28" s="2068"/>
      <c r="X28" s="2068"/>
      <c r="Y28" s="2068"/>
      <c r="Z28" s="2068"/>
      <c r="AA28" s="2068"/>
      <c r="AB28" s="248"/>
      <c r="AC28" s="2068" t="str">
        <f>IF(TITLE_DATE_CHANGE_PERIOD="",IF(TITLE_DATE_PR="","",TITLE_DATE_PR),TITLE_DATE_CHANGE_PERIOD)</f>
        <v/>
      </c>
      <c r="AD28" s="2068"/>
      <c r="AE28" s="2068"/>
      <c r="AF28" s="2068"/>
      <c r="AG28" s="2068"/>
      <c r="AH28" s="2068"/>
      <c r="AI28" s="248"/>
      <c r="AJ28" s="248"/>
      <c r="AK28" s="196"/>
      <c r="AL28" s="292"/>
      <c r="AM28" s="292"/>
      <c r="AN28" s="292"/>
      <c r="AO28" s="292"/>
      <c r="AP28" s="292"/>
    </row>
    <row r="29" spans="1:42" s="1773" customFormat="1" ht="18.75" hidden="1" customHeight="1">
      <c r="A29" s="1286"/>
      <c r="B29" s="1286"/>
      <c r="C29" s="1286"/>
      <c r="D29" s="1286"/>
      <c r="E29" s="1286"/>
      <c r="F29" s="1286"/>
      <c r="G29" s="1286"/>
      <c r="H29" s="1286"/>
      <c r="I29" s="1286"/>
      <c r="J29" s="1286"/>
      <c r="K29" s="1286"/>
      <c r="L29" s="1287"/>
      <c r="M29" s="1286"/>
      <c r="N29" s="1286"/>
      <c r="O29" s="1286"/>
      <c r="S29" s="2067" t="s">
        <v>484</v>
      </c>
      <c r="T29" s="2067"/>
      <c r="U29" s="1290"/>
      <c r="V29" s="2069" t="str">
        <f>IF(TITLE_NUMBER_PR_CHANGE="",IF(TITLE_NUMBER_PR="","",TITLE_NUMBER_PR),TITLE_NUMBER_PR_CHANGE)</f>
        <v/>
      </c>
      <c r="W29" s="2069"/>
      <c r="X29" s="2069"/>
      <c r="Y29" s="2069"/>
      <c r="Z29" s="2069"/>
      <c r="AA29" s="2069"/>
      <c r="AB29" s="248"/>
      <c r="AC29" s="2069" t="str">
        <f>IF(TITLE_NUMBER_PR_CHANGE="",IF(TITLE_NUMBER_PR="","",TITLE_NUMBER_PR),TITLE_NUMBER_PR_CHANGE)</f>
        <v/>
      </c>
      <c r="AD29" s="2069"/>
      <c r="AE29" s="2069"/>
      <c r="AF29" s="2069"/>
      <c r="AG29" s="2069"/>
      <c r="AH29" s="2069"/>
      <c r="AI29" s="248"/>
      <c r="AJ29" s="248"/>
      <c r="AK29" s="196"/>
      <c r="AL29" s="292"/>
      <c r="AM29" s="292"/>
      <c r="AN29" s="292"/>
      <c r="AO29" s="292"/>
      <c r="AP29" s="292"/>
    </row>
    <row r="30" spans="1:42" s="1773" customFormat="1" ht="18.75" hidden="1" customHeight="1">
      <c r="A30" s="1286"/>
      <c r="B30" s="1286"/>
      <c r="C30" s="1286"/>
      <c r="D30" s="1286"/>
      <c r="E30" s="1286"/>
      <c r="F30" s="1286"/>
      <c r="G30" s="1286"/>
      <c r="H30" s="1286"/>
      <c r="I30" s="1286"/>
      <c r="J30" s="1286"/>
      <c r="K30" s="1286"/>
      <c r="L30" s="1287"/>
      <c r="M30" s="1286"/>
      <c r="N30" s="1286"/>
      <c r="O30" s="1286"/>
      <c r="S30" s="2067" t="s">
        <v>41</v>
      </c>
      <c r="T30" s="2067"/>
      <c r="U30" s="1290"/>
      <c r="V30" s="2069" t="str">
        <f>IF(TITLE_IST_PUB_CHANGE="",IF(TITLE_IST_PUB="","",TITLE_IST_PUB),TITLE_IST_PUB_CHANGE)</f>
        <v/>
      </c>
      <c r="W30" s="2069"/>
      <c r="X30" s="2069"/>
      <c r="Y30" s="2069"/>
      <c r="Z30" s="2069"/>
      <c r="AA30" s="2069"/>
      <c r="AB30" s="248"/>
      <c r="AC30" s="2069" t="str">
        <f>IF(TITLE_IST_PUB_CHANGE="",IF(TITLE_IST_PUB="","",TITLE_IST_PUB),TITLE_IST_PUB_CHANGE)</f>
        <v/>
      </c>
      <c r="AD30" s="2069"/>
      <c r="AE30" s="2069"/>
      <c r="AF30" s="2069"/>
      <c r="AG30" s="2069"/>
      <c r="AH30" s="2069"/>
      <c r="AI30" s="248"/>
      <c r="AJ30" s="248"/>
      <c r="AK30" s="196"/>
      <c r="AL30" s="292"/>
      <c r="AM30" s="292"/>
      <c r="AN30" s="292"/>
      <c r="AO30" s="292"/>
      <c r="AP30" s="292"/>
    </row>
    <row r="31" spans="1:42" ht="14.25" hidden="1" customHeight="1">
      <c r="Q31" s="300"/>
      <c r="R31" s="300"/>
      <c r="S31" s="1197"/>
      <c r="T31" s="286"/>
      <c r="U31" s="286"/>
      <c r="V31" s="242"/>
      <c r="W31" s="242"/>
      <c r="X31" s="242"/>
      <c r="Y31" s="242"/>
      <c r="Z31" s="242"/>
      <c r="AA31" s="242"/>
      <c r="AB31" s="242"/>
      <c r="AC31" s="242"/>
      <c r="AD31" s="242"/>
      <c r="AE31" s="242"/>
      <c r="AF31" s="242"/>
      <c r="AG31" s="242"/>
      <c r="AH31" s="242"/>
      <c r="AI31" s="242"/>
      <c r="AJ31" s="435"/>
    </row>
    <row r="32" spans="1:42" s="1773" customFormat="1" ht="18.75" hidden="1" customHeight="1">
      <c r="A32" s="1286"/>
      <c r="B32" s="1286"/>
      <c r="C32" s="1286"/>
      <c r="D32" s="1286"/>
      <c r="E32" s="1286"/>
      <c r="F32" s="1286"/>
      <c r="G32" s="1286"/>
      <c r="H32" s="1286"/>
      <c r="I32" s="1286"/>
      <c r="J32" s="1286"/>
      <c r="K32" s="1286"/>
      <c r="L32" s="1287"/>
      <c r="M32" s="1286"/>
      <c r="N32" s="1286"/>
      <c r="O32" s="1286"/>
      <c r="S32" s="2067" t="s">
        <v>485</v>
      </c>
      <c r="T32" s="2067"/>
      <c r="U32" s="1290"/>
      <c r="V32" s="2068" t="str">
        <f>IF(TITLE_DATE_CHANGE_PERIOD="",IF(TITLE_DATE_PR="","",TITLE_DATE_PR),TITLE_DATE_CHANGE_PERIOD)</f>
        <v/>
      </c>
      <c r="W32" s="2068"/>
      <c r="X32" s="2068"/>
      <c r="Y32" s="2068"/>
      <c r="Z32" s="2068"/>
      <c r="AA32" s="2068"/>
      <c r="AB32" s="248"/>
      <c r="AC32" s="2068" t="str">
        <f>IF(TITLE_DATE_CHANGE_PERIOD="",IF(TITLE_DATE_PR="","",TITLE_DATE_PR),TITLE_DATE_CHANGE_PERIOD)</f>
        <v/>
      </c>
      <c r="AD32" s="2068"/>
      <c r="AE32" s="2068"/>
      <c r="AF32" s="2068"/>
      <c r="AG32" s="2068"/>
      <c r="AH32" s="2068"/>
      <c r="AI32" s="248"/>
      <c r="AJ32" s="248"/>
      <c r="AK32" s="196"/>
      <c r="AL32" s="292"/>
      <c r="AM32" s="292"/>
      <c r="AN32" s="292"/>
      <c r="AO32" s="292"/>
      <c r="AP32" s="292"/>
    </row>
    <row r="33" spans="1:42" s="1773" customFormat="1" ht="18.75" hidden="1" customHeight="1">
      <c r="A33" s="1286"/>
      <c r="B33" s="1286"/>
      <c r="C33" s="1286"/>
      <c r="D33" s="1286"/>
      <c r="E33" s="1286"/>
      <c r="F33" s="1286"/>
      <c r="G33" s="1286"/>
      <c r="H33" s="1286"/>
      <c r="I33" s="1286"/>
      <c r="J33" s="1286"/>
      <c r="K33" s="1286"/>
      <c r="L33" s="1287"/>
      <c r="M33" s="1286"/>
      <c r="N33" s="1286"/>
      <c r="O33" s="1286"/>
      <c r="S33" s="2067" t="s">
        <v>486</v>
      </c>
      <c r="T33" s="2067"/>
      <c r="U33" s="1290"/>
      <c r="V33" s="2069" t="str">
        <f>IF(TITLE_NUMBER_PR_CHANGE="",IF(TITLE_NUMBER_PR="","",TITLE_NUMBER_PR),TITLE_NUMBER_PR_CHANGE)</f>
        <v/>
      </c>
      <c r="W33" s="2069"/>
      <c r="X33" s="2069"/>
      <c r="Y33" s="2069"/>
      <c r="Z33" s="2069"/>
      <c r="AA33" s="2069"/>
      <c r="AB33" s="248"/>
      <c r="AC33" s="2069" t="str">
        <f>IF(TITLE_NUMBER_PR_CHANGE="",IF(TITLE_NUMBER_PR="","",TITLE_NUMBER_PR),TITLE_NUMBER_PR_CHANGE)</f>
        <v/>
      </c>
      <c r="AD33" s="2069"/>
      <c r="AE33" s="2069"/>
      <c r="AF33" s="2069"/>
      <c r="AG33" s="2069"/>
      <c r="AH33" s="2069"/>
      <c r="AI33" s="248"/>
      <c r="AJ33" s="248"/>
      <c r="AK33" s="196"/>
      <c r="AL33" s="292"/>
      <c r="AM33" s="292"/>
      <c r="AN33" s="292"/>
      <c r="AO33" s="292"/>
      <c r="AP33" s="292"/>
    </row>
    <row r="34" spans="1:42" s="1773" customFormat="1" ht="0.75" customHeight="1">
      <c r="A34" s="1286"/>
      <c r="B34" s="1286"/>
      <c r="C34" s="1286"/>
      <c r="D34" s="1286"/>
      <c r="E34" s="1286"/>
      <c r="F34" s="1286"/>
      <c r="G34" s="1286"/>
      <c r="H34" s="1286"/>
      <c r="I34" s="1286"/>
      <c r="J34" s="1286"/>
      <c r="K34" s="1286"/>
      <c r="L34" s="1287"/>
      <c r="M34" s="1286"/>
      <c r="N34" s="1286"/>
      <c r="O34" s="1286"/>
      <c r="S34" s="244"/>
      <c r="T34" s="244"/>
      <c r="U34" s="1369"/>
      <c r="V34" s="248"/>
      <c r="W34" s="248"/>
      <c r="X34" s="248"/>
      <c r="Y34" s="248"/>
      <c r="Z34" s="248"/>
      <c r="AA34" s="248"/>
      <c r="AB34" s="194" t="s">
        <v>487</v>
      </c>
      <c r="AC34" s="248"/>
      <c r="AD34" s="248"/>
      <c r="AE34" s="248"/>
      <c r="AF34" s="248"/>
      <c r="AG34" s="248"/>
      <c r="AH34" s="248"/>
      <c r="AI34" s="194" t="s">
        <v>487</v>
      </c>
      <c r="AL34" s="292"/>
      <c r="AM34" s="292"/>
      <c r="AN34" s="292"/>
      <c r="AO34" s="292"/>
      <c r="AP34" s="292"/>
    </row>
    <row r="35" spans="1:42" ht="14.25" customHeight="1">
      <c r="Q35" s="300"/>
      <c r="R35" s="300"/>
      <c r="S35" s="1197"/>
      <c r="T35" s="286"/>
      <c r="U35" s="1155"/>
      <c r="V35" s="2087"/>
      <c r="W35" s="2087"/>
      <c r="X35" s="2087"/>
      <c r="Y35" s="2087"/>
      <c r="Z35" s="2087"/>
      <c r="AA35" s="2087"/>
      <c r="AB35" s="2087"/>
      <c r="AC35" s="2087"/>
      <c r="AD35" s="2087"/>
      <c r="AE35" s="2087"/>
      <c r="AF35" s="2087"/>
      <c r="AG35" s="2087"/>
      <c r="AH35" s="2087"/>
      <c r="AI35" s="2087"/>
    </row>
    <row r="36" spans="1:42" ht="14.25" customHeight="1">
      <c r="Q36" s="300"/>
      <c r="R36" s="300"/>
      <c r="S36" s="1874" t="s">
        <v>291</v>
      </c>
      <c r="T36" s="1874"/>
      <c r="U36" s="1874"/>
      <c r="V36" s="1874"/>
      <c r="W36" s="1874"/>
      <c r="X36" s="1874"/>
      <c r="Y36" s="1874"/>
      <c r="Z36" s="1874"/>
      <c r="AA36" s="1874"/>
      <c r="AB36" s="1874"/>
      <c r="AC36" s="1874"/>
      <c r="AD36" s="1874"/>
      <c r="AE36" s="1874"/>
      <c r="AF36" s="1874"/>
      <c r="AG36" s="1874"/>
      <c r="AH36" s="1874"/>
      <c r="AI36" s="1874"/>
      <c r="AJ36" s="1874"/>
      <c r="AK36" s="1874" t="s">
        <v>292</v>
      </c>
    </row>
    <row r="37" spans="1:42" ht="14.25" customHeight="1">
      <c r="Q37" s="300"/>
      <c r="R37" s="300"/>
      <c r="S37" s="2088" t="s">
        <v>88</v>
      </c>
      <c r="T37" s="1959" t="s">
        <v>488</v>
      </c>
      <c r="U37" s="215"/>
      <c r="V37" s="2089" t="s">
        <v>489</v>
      </c>
      <c r="W37" s="2090"/>
      <c r="X37" s="2090"/>
      <c r="Y37" s="2090"/>
      <c r="Z37" s="2090"/>
      <c r="AA37" s="2091"/>
      <c r="AB37" s="2092" t="s">
        <v>490</v>
      </c>
      <c r="AC37" s="2089" t="s">
        <v>489</v>
      </c>
      <c r="AD37" s="2090"/>
      <c r="AE37" s="2090"/>
      <c r="AF37" s="2090"/>
      <c r="AG37" s="2090"/>
      <c r="AH37" s="2091"/>
      <c r="AI37" s="2092" t="s">
        <v>491</v>
      </c>
      <c r="AJ37" s="2095" t="s">
        <v>492</v>
      </c>
      <c r="AK37" s="1874"/>
    </row>
    <row r="38" spans="1:42" ht="33.75" customHeight="1">
      <c r="Q38" s="300"/>
      <c r="R38" s="300"/>
      <c r="S38" s="2088"/>
      <c r="T38" s="1959"/>
      <c r="U38" s="939"/>
      <c r="V38" s="1367" t="s">
        <v>1684</v>
      </c>
      <c r="W38" s="1856" t="s">
        <v>495</v>
      </c>
      <c r="X38" s="1855"/>
      <c r="Y38" s="1856" t="s">
        <v>496</v>
      </c>
      <c r="Z38" s="1861"/>
      <c r="AA38" s="1855"/>
      <c r="AB38" s="2093"/>
      <c r="AC38" s="1367" t="s">
        <v>1684</v>
      </c>
      <c r="AD38" s="1856" t="s">
        <v>495</v>
      </c>
      <c r="AE38" s="1855"/>
      <c r="AF38" s="1856" t="s">
        <v>496</v>
      </c>
      <c r="AG38" s="1861"/>
      <c r="AH38" s="1855"/>
      <c r="AI38" s="2093"/>
      <c r="AJ38" s="2096"/>
      <c r="AK38" s="1874"/>
    </row>
    <row r="39" spans="1:42" ht="33.75" customHeight="1">
      <c r="A39" s="1288"/>
      <c r="B39" s="1288" t="s">
        <v>140</v>
      </c>
      <c r="C39" s="1288" t="s">
        <v>141</v>
      </c>
      <c r="D39" s="1288" t="s">
        <v>142</v>
      </c>
      <c r="E39" s="1282" t="s">
        <v>497</v>
      </c>
      <c r="F39" s="1282" t="s">
        <v>498</v>
      </c>
      <c r="G39" s="1282" t="s">
        <v>499</v>
      </c>
      <c r="H39" s="1282"/>
      <c r="I39" s="1282" t="s">
        <v>1685</v>
      </c>
      <c r="J39" s="1282" t="s">
        <v>502</v>
      </c>
      <c r="K39" s="1282" t="s">
        <v>1686</v>
      </c>
      <c r="L39" s="1282" t="s">
        <v>478</v>
      </c>
      <c r="Q39" s="300"/>
      <c r="R39" s="300"/>
      <c r="S39" s="2088"/>
      <c r="T39" s="1959"/>
      <c r="U39" s="216"/>
      <c r="V39" s="1367" t="s">
        <v>1687</v>
      </c>
      <c r="W39" s="1130" t="s">
        <v>1688</v>
      </c>
      <c r="X39" s="1130" t="s">
        <v>1689</v>
      </c>
      <c r="Y39" s="1370" t="s">
        <v>506</v>
      </c>
      <c r="Z39" s="1965" t="s">
        <v>507</v>
      </c>
      <c r="AA39" s="1979"/>
      <c r="AB39" s="2094"/>
      <c r="AC39" s="1367" t="s">
        <v>1687</v>
      </c>
      <c r="AD39" s="1130" t="s">
        <v>1688</v>
      </c>
      <c r="AE39" s="1130" t="s">
        <v>1689</v>
      </c>
      <c r="AF39" s="1370" t="s">
        <v>506</v>
      </c>
      <c r="AG39" s="1965" t="s">
        <v>507</v>
      </c>
      <c r="AH39" s="1979"/>
      <c r="AI39" s="2094"/>
      <c r="AJ39" s="2097"/>
      <c r="AK39" s="1874"/>
    </row>
    <row r="40" spans="1:42" s="1558" customFormat="1" ht="0" hidden="1" customHeight="1">
      <c r="A40" s="1288"/>
      <c r="B40" s="1288"/>
      <c r="C40" s="1288"/>
      <c r="D40" s="1288"/>
      <c r="E40" s="1288"/>
      <c r="F40" s="1288"/>
      <c r="G40" s="1288"/>
      <c r="H40" s="1288"/>
      <c r="I40" s="1288"/>
      <c r="J40" s="1288"/>
      <c r="K40" s="1288"/>
      <c r="L40" s="1282"/>
      <c r="M40" s="1280"/>
      <c r="N40" s="1280"/>
      <c r="O40" s="1280"/>
      <c r="P40" s="1157"/>
      <c r="Q40" s="1158"/>
      <c r="R40" s="1173">
        <v>1</v>
      </c>
      <c r="S40" s="1199" t="s">
        <v>109</v>
      </c>
      <c r="T40" s="1174" t="s">
        <v>110</v>
      </c>
      <c r="U40" s="1156" t="str">
        <f ca="1">OFFSET(U40,0,-1)</f>
        <v>2</v>
      </c>
      <c r="V40" s="1366">
        <f ca="1">OFFSET(V40,0,-1)+1</f>
        <v>3</v>
      </c>
      <c r="W40" s="1366">
        <f ca="1">OFFSET(W40,0,-1)+1</f>
        <v>4</v>
      </c>
      <c r="X40" s="1366">
        <f ca="1">OFFSET(X40,0,-1)+1</f>
        <v>5</v>
      </c>
      <c r="Y40" s="1366">
        <f ca="1">OFFSET(Y40,0,-1)+1</f>
        <v>6</v>
      </c>
      <c r="Z40" s="2086">
        <f ca="1">OFFSET(Z40,0,-1)+1</f>
        <v>7</v>
      </c>
      <c r="AA40" s="2086"/>
      <c r="AB40" s="1366">
        <f ca="1">OFFSET(AB40,0,-2)+1</f>
        <v>8</v>
      </c>
      <c r="AC40" s="1366">
        <f ca="1">OFFSET(AC40,0,-1)+1</f>
        <v>9</v>
      </c>
      <c r="AD40" s="1366">
        <f ca="1">OFFSET(AD40,0,-1)+1</f>
        <v>10</v>
      </c>
      <c r="AE40" s="1366">
        <f ca="1">OFFSET(AE40,0,-1)+1</f>
        <v>11</v>
      </c>
      <c r="AF40" s="1366">
        <f ca="1">OFFSET(AF40,0,-1)+1</f>
        <v>12</v>
      </c>
      <c r="AG40" s="2086">
        <f ca="1">OFFSET(AG40,0,-1)+1</f>
        <v>13</v>
      </c>
      <c r="AH40" s="2086"/>
      <c r="AI40" s="1366">
        <f ca="1">OFFSET(AI40,0,-2)+1</f>
        <v>14</v>
      </c>
      <c r="AJ40" s="1156">
        <f ca="1">OFFSET(AJ40,0,-1)</f>
        <v>14</v>
      </c>
      <c r="AK40" s="1366">
        <f ca="1">OFFSET(AK40,0,-1)+1</f>
        <v>15</v>
      </c>
      <c r="AL40" s="437"/>
      <c r="AM40" s="437"/>
      <c r="AN40" s="437"/>
      <c r="AO40" s="437"/>
      <c r="AP40" s="437"/>
    </row>
    <row r="41" spans="1:42" ht="23.25" customHeight="1">
      <c r="A41" s="1281" t="s">
        <v>232</v>
      </c>
      <c r="B41" s="1281"/>
      <c r="C41" s="1281"/>
      <c r="D41" s="1281"/>
      <c r="E41" s="2076">
        <v>1</v>
      </c>
      <c r="F41" s="1281"/>
      <c r="G41" s="1281"/>
      <c r="H41" s="1281"/>
      <c r="I41" s="1281"/>
      <c r="J41" s="1281"/>
      <c r="K41" s="1281"/>
      <c r="L41" s="1282"/>
      <c r="M41" s="1283"/>
      <c r="N41" s="1283"/>
      <c r="O41" s="1283"/>
      <c r="P41" s="282"/>
      <c r="Q41" s="281"/>
      <c r="R41" s="276"/>
      <c r="S41" s="1372">
        <f>INDEX(PT_DIFFERENTIATION_NUM_NTAR,MATCH(A41,PT_DIFFERENTIATION_NTAR_ID,0))</f>
        <v>0</v>
      </c>
      <c r="T41" s="212" t="s">
        <v>128</v>
      </c>
      <c r="U41" s="214"/>
      <c r="V41" s="2070"/>
      <c r="W41" s="2071"/>
      <c r="X41" s="2071"/>
      <c r="Y41" s="2071"/>
      <c r="Z41" s="2071"/>
      <c r="AA41" s="2071"/>
      <c r="AB41" s="2072"/>
      <c r="AC41" s="2070" t="str">
        <f>INDEX(PT_DIFFERENTIATION_NTAR,MATCH(A41,PT_DIFFERENTIATION_NTAR_ID,0))</f>
        <v/>
      </c>
      <c r="AD41" s="2071"/>
      <c r="AE41" s="2071"/>
      <c r="AF41" s="2071"/>
      <c r="AG41" s="2071"/>
      <c r="AH41" s="2071"/>
      <c r="AI41" s="2071"/>
      <c r="AJ41" s="2072"/>
      <c r="AK41" s="117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426"/>
      <c r="AN41" s="426" t="str">
        <f t="shared" ref="AN41:AN53" si="1">IF(T41="","",T41)</f>
        <v>Наименование тарифа</v>
      </c>
      <c r="AO41" s="426"/>
      <c r="AP41" s="426"/>
    </row>
    <row r="42" spans="1:42" ht="23.25" customHeight="1">
      <c r="A42" s="1281" t="s">
        <v>232</v>
      </c>
      <c r="B42" s="1281" t="s">
        <v>233</v>
      </c>
      <c r="C42" s="1281"/>
      <c r="D42" s="1281"/>
      <c r="E42" s="2077"/>
      <c r="F42" s="2076">
        <v>1</v>
      </c>
      <c r="G42" s="1281"/>
      <c r="H42" s="1281"/>
      <c r="I42" s="1281"/>
      <c r="J42" s="1281"/>
      <c r="K42" s="1281"/>
      <c r="L42" s="1282"/>
      <c r="M42" s="1283"/>
      <c r="N42" s="1283"/>
      <c r="O42" s="1283"/>
      <c r="P42" s="1368"/>
      <c r="Q42" s="273"/>
      <c r="R42" s="274"/>
      <c r="S42" s="1372" t="str">
        <f>INDEX(PT_DIFFERENTIATION_NUM_TER,MATCH(B42,PT_DIFFERENTIATION_TER_ID,0))</f>
        <v>.</v>
      </c>
      <c r="T42" s="224" t="s">
        <v>460</v>
      </c>
      <c r="U42" s="214"/>
      <c r="V42" s="2070"/>
      <c r="W42" s="2071"/>
      <c r="X42" s="2071"/>
      <c r="Y42" s="2071"/>
      <c r="Z42" s="2071"/>
      <c r="AA42" s="2071"/>
      <c r="AB42" s="2072"/>
      <c r="AC42" s="2070" t="str">
        <f>INDEX(PT_DIFFERENTIATION_TER,MATCH(B42,PT_DIFFERENTIATION_TER_ID,0))</f>
        <v/>
      </c>
      <c r="AD42" s="2071"/>
      <c r="AE42" s="2071"/>
      <c r="AF42" s="2071"/>
      <c r="AG42" s="2071"/>
      <c r="AH42" s="2071"/>
      <c r="AI42" s="2071"/>
      <c r="AJ42" s="2072"/>
      <c r="AK42" s="1179" t="s">
        <v>461</v>
      </c>
      <c r="AM42" s="426"/>
      <c r="AN42" s="426" t="str">
        <f t="shared" si="1"/>
        <v>Территория действия тарифа</v>
      </c>
      <c r="AO42" s="426"/>
      <c r="AP42" s="426"/>
    </row>
    <row r="43" spans="1:42" ht="23.25" customHeight="1">
      <c r="A43" s="1281" t="s">
        <v>232</v>
      </c>
      <c r="B43" s="1281" t="s">
        <v>233</v>
      </c>
      <c r="C43" s="1281" t="s">
        <v>234</v>
      </c>
      <c r="D43" s="1281"/>
      <c r="E43" s="2077"/>
      <c r="F43" s="2077"/>
      <c r="G43" s="2076">
        <v>1</v>
      </c>
      <c r="H43" s="1281"/>
      <c r="I43" s="1281"/>
      <c r="J43" s="1281"/>
      <c r="K43" s="1281"/>
      <c r="L43" s="1282"/>
      <c r="M43" s="1283"/>
      <c r="N43" s="1283"/>
      <c r="O43" s="1283"/>
      <c r="P43" s="275"/>
      <c r="Q43" s="273"/>
      <c r="R43" s="274"/>
      <c r="S43" s="1372" t="str">
        <f>INDEX(PT_DIFFERENTIATION_NUM_CS,MATCH(C43,PT_DIFFERENTIATION_CS_ID,0))</f>
        <v>..</v>
      </c>
      <c r="T43" s="225" t="s">
        <v>1676</v>
      </c>
      <c r="U43" s="214"/>
      <c r="V43" s="2070"/>
      <c r="W43" s="2071"/>
      <c r="X43" s="2071"/>
      <c r="Y43" s="2071"/>
      <c r="Z43" s="2071"/>
      <c r="AA43" s="2071"/>
      <c r="AB43" s="2072"/>
      <c r="AC43" s="2070" t="str">
        <f>INDEX(PT_DIFFERENTIATION_CS,MATCH(C43,PT_DIFFERENTIATION_CS_ID,0))</f>
        <v/>
      </c>
      <c r="AD43" s="2071"/>
      <c r="AE43" s="2071"/>
      <c r="AF43" s="2071"/>
      <c r="AG43" s="2071"/>
      <c r="AH43" s="2071"/>
      <c r="AI43" s="2071"/>
      <c r="AJ43" s="2072"/>
      <c r="AK43" s="1179" t="s">
        <v>1677</v>
      </c>
      <c r="AM43" s="426"/>
      <c r="AN43" s="426" t="str">
        <f t="shared" si="1"/>
        <v>Наименование централизованной системы холодного водоснабжения</v>
      </c>
      <c r="AO43" s="426"/>
      <c r="AP43" s="426"/>
    </row>
    <row r="44" spans="1:42" ht="23.25" customHeight="1">
      <c r="A44" s="1281" t="s">
        <v>232</v>
      </c>
      <c r="B44" s="1281" t="s">
        <v>233</v>
      </c>
      <c r="C44" s="1281" t="s">
        <v>234</v>
      </c>
      <c r="D44" s="1281" t="s">
        <v>1695</v>
      </c>
      <c r="E44" s="2077"/>
      <c r="F44" s="2077"/>
      <c r="G44" s="2077"/>
      <c r="H44" s="2077"/>
      <c r="I44" s="2078" t="str">
        <f>S43&amp;".1"</f>
        <v>...1</v>
      </c>
      <c r="J44" s="1281"/>
      <c r="K44" s="1281"/>
      <c r="L44" s="1282"/>
      <c r="P44" s="1995">
        <v>1</v>
      </c>
      <c r="Q44" s="1365"/>
      <c r="R44" s="277"/>
      <c r="S44" s="1372" t="str">
        <f>$I44</f>
        <v>...1</v>
      </c>
      <c r="T44" s="200" t="s">
        <v>1678</v>
      </c>
      <c r="U44" s="214"/>
      <c r="V44" s="2176"/>
      <c r="W44" s="2177"/>
      <c r="X44" s="2177"/>
      <c r="Y44" s="2177"/>
      <c r="Z44" s="2177"/>
      <c r="AA44" s="2177"/>
      <c r="AB44" s="2178"/>
      <c r="AC44" s="2179"/>
      <c r="AD44" s="2180"/>
      <c r="AE44" s="2180"/>
      <c r="AF44" s="2180"/>
      <c r="AG44" s="2180"/>
      <c r="AH44" s="2180"/>
      <c r="AI44" s="2180"/>
      <c r="AJ44" s="2181"/>
      <c r="AK44" s="1179" t="s">
        <v>1679</v>
      </c>
      <c r="AM44" s="426"/>
      <c r="AN44" s="426" t="str">
        <f t="shared" si="1"/>
        <v>Наименование признака дифференциации</v>
      </c>
      <c r="AO44" s="426"/>
      <c r="AP44" s="426"/>
    </row>
    <row r="45" spans="1:42" ht="23.25" customHeight="1">
      <c r="A45" s="1281" t="s">
        <v>232</v>
      </c>
      <c r="B45" s="1281" t="s">
        <v>233</v>
      </c>
      <c r="C45" s="1281" t="s">
        <v>234</v>
      </c>
      <c r="D45" s="1281" t="s">
        <v>1695</v>
      </c>
      <c r="E45" s="2077"/>
      <c r="F45" s="2077"/>
      <c r="G45" s="2077"/>
      <c r="H45" s="2077"/>
      <c r="I45" s="2079"/>
      <c r="J45" s="2078" t="str">
        <f>I44&amp;".1"</f>
        <v>...1.1</v>
      </c>
      <c r="K45" s="1281"/>
      <c r="L45" s="1282" t="s">
        <v>469</v>
      </c>
      <c r="P45" s="1995"/>
      <c r="Q45" s="1995">
        <v>1</v>
      </c>
      <c r="R45" s="278"/>
      <c r="S45" s="1372" t="str">
        <f>$J45</f>
        <v>...1.1</v>
      </c>
      <c r="T45" s="201" t="s">
        <v>470</v>
      </c>
      <c r="U45" s="214"/>
      <c r="V45" s="2064"/>
      <c r="W45" s="2065"/>
      <c r="X45" s="2065"/>
      <c r="Y45" s="2065"/>
      <c r="Z45" s="2065"/>
      <c r="AA45" s="2065"/>
      <c r="AB45" s="2066"/>
      <c r="AC45" s="2064"/>
      <c r="AD45" s="2065"/>
      <c r="AE45" s="2065"/>
      <c r="AF45" s="2065"/>
      <c r="AG45" s="2065"/>
      <c r="AH45" s="2065"/>
      <c r="AI45" s="2065"/>
      <c r="AJ45" s="2066"/>
      <c r="AK45" s="1228" t="s">
        <v>1680</v>
      </c>
      <c r="AM45" s="426"/>
      <c r="AN45" s="426" t="str">
        <f t="shared" si="1"/>
        <v>Группа потребителей</v>
      </c>
      <c r="AO45" s="426"/>
      <c r="AP45" s="426"/>
    </row>
    <row r="46" spans="1:42" ht="23.25" customHeight="1">
      <c r="A46" s="1281" t="s">
        <v>232</v>
      </c>
      <c r="B46" s="1281" t="s">
        <v>233</v>
      </c>
      <c r="C46" s="1281" t="s">
        <v>234</v>
      </c>
      <c r="D46" s="1281" t="s">
        <v>1695</v>
      </c>
      <c r="E46" s="2077"/>
      <c r="F46" s="2077"/>
      <c r="G46" s="2077"/>
      <c r="H46" s="2077"/>
      <c r="I46" s="2079"/>
      <c r="J46" s="2079"/>
      <c r="K46" s="2078" t="str">
        <f>J45&amp;".1"</f>
        <v>...1.1.1</v>
      </c>
      <c r="L46" s="1282"/>
      <c r="P46" s="1995"/>
      <c r="Q46" s="1995"/>
      <c r="R46" s="278">
        <v>1</v>
      </c>
      <c r="S46" s="1372" t="str">
        <f>$K46</f>
        <v>...1.1.1</v>
      </c>
      <c r="T46" s="1354"/>
      <c r="U46" s="214"/>
      <c r="V46" s="664"/>
      <c r="W46" s="664"/>
      <c r="X46" s="1178"/>
      <c r="Y46" s="2080"/>
      <c r="Z46" s="1885" t="s">
        <v>59</v>
      </c>
      <c r="AA46" s="2080"/>
      <c r="AB46" s="1885" t="s">
        <v>59</v>
      </c>
      <c r="AC46" s="664"/>
      <c r="AD46" s="664"/>
      <c r="AE46" s="1178"/>
      <c r="AF46" s="2080"/>
      <c r="AG46" s="1885" t="s">
        <v>59</v>
      </c>
      <c r="AH46" s="2082"/>
      <c r="AI46" s="1885" t="s">
        <v>59</v>
      </c>
      <c r="AJ46" s="1355"/>
      <c r="AK46" s="2182"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437" t="e">
        <f ca="1">STRCHECKDATE(V47:AJ47)</f>
        <v>#NAME?</v>
      </c>
      <c r="AM46" s="426"/>
      <c r="AN46" s="426" t="str">
        <f t="shared" si="1"/>
        <v/>
      </c>
      <c r="AO46" s="426"/>
      <c r="AP46" s="426"/>
    </row>
    <row r="47" spans="1:42" ht="0" hidden="1" customHeight="1">
      <c r="A47" s="1281" t="s">
        <v>232</v>
      </c>
      <c r="B47" s="1281" t="s">
        <v>233</v>
      </c>
      <c r="C47" s="1281" t="s">
        <v>234</v>
      </c>
      <c r="D47" s="1281" t="s">
        <v>1695</v>
      </c>
      <c r="E47" s="2077"/>
      <c r="F47" s="2077"/>
      <c r="G47" s="2077"/>
      <c r="H47" s="2077"/>
      <c r="I47" s="2079"/>
      <c r="J47" s="2079"/>
      <c r="K47" s="2078"/>
      <c r="L47" s="1282"/>
      <c r="P47" s="1995"/>
      <c r="Q47" s="1995"/>
      <c r="R47" s="278"/>
      <c r="S47" s="1371"/>
      <c r="T47" s="214"/>
      <c r="U47" s="214"/>
      <c r="V47" s="246"/>
      <c r="W47" s="246"/>
      <c r="X47" s="250" t="str">
        <f>Y46&amp;"-"&amp;AA46</f>
        <v>-</v>
      </c>
      <c r="Y47" s="2081"/>
      <c r="Z47" s="1885"/>
      <c r="AA47" s="2081"/>
      <c r="AB47" s="1885"/>
      <c r="AC47" s="246"/>
      <c r="AD47" s="246"/>
      <c r="AE47" s="250" t="str">
        <f>AF46&amp;"-"&amp;AH46</f>
        <v>-</v>
      </c>
      <c r="AF47" s="2081"/>
      <c r="AG47" s="1885"/>
      <c r="AH47" s="2083"/>
      <c r="AI47" s="1885"/>
      <c r="AJ47" s="1356"/>
      <c r="AK47" s="2182"/>
      <c r="AM47" s="426"/>
      <c r="AN47" s="426" t="str">
        <f t="shared" si="1"/>
        <v/>
      </c>
      <c r="AO47" s="426"/>
      <c r="AP47" s="426"/>
    </row>
    <row r="48" spans="1:42" ht="21" customHeight="1">
      <c r="A48" s="1281" t="s">
        <v>232</v>
      </c>
      <c r="B48" s="1281" t="s">
        <v>233</v>
      </c>
      <c r="C48" s="1281" t="s">
        <v>234</v>
      </c>
      <c r="D48" s="1281" t="s">
        <v>1695</v>
      </c>
      <c r="E48" s="2077"/>
      <c r="F48" s="2077"/>
      <c r="G48" s="2077"/>
      <c r="H48" s="2077"/>
      <c r="I48" s="2079"/>
      <c r="J48" s="2078"/>
      <c r="K48" s="1281"/>
      <c r="L48" s="1282"/>
      <c r="P48" s="1995"/>
      <c r="Q48" s="1995"/>
      <c r="R48" s="277"/>
      <c r="S48" s="1200"/>
      <c r="T48" s="202" t="s">
        <v>1681</v>
      </c>
      <c r="U48" s="291"/>
      <c r="V48" s="291"/>
      <c r="W48" s="291"/>
      <c r="X48" s="291"/>
      <c r="Y48" s="291"/>
      <c r="Z48" s="291"/>
      <c r="AA48" s="291"/>
      <c r="AB48" s="291"/>
      <c r="AC48" s="291"/>
      <c r="AD48" s="291"/>
      <c r="AE48" s="291"/>
      <c r="AF48" s="291"/>
      <c r="AG48" s="291"/>
      <c r="AH48" s="291"/>
      <c r="AI48" s="291"/>
      <c r="AJ48" s="291"/>
      <c r="AK48" s="1179" t="s">
        <v>1682</v>
      </c>
      <c r="AM48" s="426"/>
      <c r="AN48" s="426" t="str">
        <f t="shared" si="1"/>
        <v>Добавить значение признака дифференциации</v>
      </c>
      <c r="AO48" s="426"/>
      <c r="AP48" s="426"/>
    </row>
    <row r="49" spans="1:42" ht="21" customHeight="1">
      <c r="A49" s="1281" t="s">
        <v>232</v>
      </c>
      <c r="B49" s="1281" t="s">
        <v>233</v>
      </c>
      <c r="C49" s="1281" t="s">
        <v>234</v>
      </c>
      <c r="D49" s="1281" t="s">
        <v>1695</v>
      </c>
      <c r="E49" s="2077"/>
      <c r="F49" s="2077"/>
      <c r="G49" s="2077"/>
      <c r="H49" s="2077"/>
      <c r="I49" s="2078"/>
      <c r="J49" s="1281"/>
      <c r="K49" s="1281"/>
      <c r="L49" s="1282"/>
      <c r="P49" s="1995"/>
      <c r="Q49" s="1365"/>
      <c r="R49" s="277"/>
      <c r="S49" s="1200"/>
      <c r="T49" s="288" t="s">
        <v>475</v>
      </c>
      <c r="U49" s="291"/>
      <c r="V49" s="291"/>
      <c r="W49" s="291"/>
      <c r="X49" s="291"/>
      <c r="Y49" s="291"/>
      <c r="Z49" s="291"/>
      <c r="AA49" s="291"/>
      <c r="AB49" s="290"/>
      <c r="AC49" s="291"/>
      <c r="AD49" s="291"/>
      <c r="AE49" s="291"/>
      <c r="AF49" s="291"/>
      <c r="AG49" s="291"/>
      <c r="AH49" s="291"/>
      <c r="AI49" s="290"/>
      <c r="AJ49" s="291"/>
      <c r="AK49" s="1357"/>
      <c r="AM49" s="426"/>
      <c r="AN49" s="426" t="str">
        <f t="shared" si="1"/>
        <v>Добавить группу потребителей</v>
      </c>
      <c r="AO49" s="426"/>
      <c r="AP49" s="426"/>
    </row>
    <row r="50" spans="1:42" ht="21" customHeight="1">
      <c r="A50" s="1281" t="s">
        <v>232</v>
      </c>
      <c r="B50" s="1281" t="s">
        <v>233</v>
      </c>
      <c r="C50" s="1281" t="s">
        <v>234</v>
      </c>
      <c r="D50" s="1281" t="s">
        <v>1695</v>
      </c>
      <c r="E50" s="2077"/>
      <c r="F50" s="2077"/>
      <c r="G50" s="2077"/>
      <c r="H50" s="2076"/>
      <c r="I50" s="1281"/>
      <c r="J50" s="1281"/>
      <c r="K50" s="1281"/>
      <c r="L50" s="1282"/>
      <c r="M50" s="1283"/>
      <c r="N50" s="1283"/>
      <c r="O50" s="462"/>
      <c r="P50" s="281"/>
      <c r="Q50" s="299"/>
      <c r="R50" s="276"/>
      <c r="S50" s="1200"/>
      <c r="T50" s="296" t="s">
        <v>1683</v>
      </c>
      <c r="U50" s="291"/>
      <c r="V50" s="291"/>
      <c r="W50" s="291"/>
      <c r="X50" s="291"/>
      <c r="Y50" s="291"/>
      <c r="Z50" s="291"/>
      <c r="AA50" s="291"/>
      <c r="AB50" s="290"/>
      <c r="AC50" s="291"/>
      <c r="AD50" s="291"/>
      <c r="AE50" s="291"/>
      <c r="AF50" s="291"/>
      <c r="AG50" s="291"/>
      <c r="AH50" s="291"/>
      <c r="AI50" s="290"/>
      <c r="AJ50" s="291"/>
      <c r="AK50" s="217"/>
      <c r="AM50" s="426"/>
      <c r="AN50" s="426" t="str">
        <f t="shared" si="1"/>
        <v>Добавить наименование признака дифференциации</v>
      </c>
      <c r="AO50" s="426"/>
      <c r="AP50" s="426"/>
    </row>
    <row r="51" spans="1:42" s="1559" customFormat="1" ht="0" hidden="1" customHeight="1">
      <c r="A51" s="1262" t="s">
        <v>232</v>
      </c>
      <c r="B51" s="1262" t="s">
        <v>233</v>
      </c>
      <c r="C51" s="1234"/>
      <c r="D51" s="1234"/>
      <c r="E51" s="2077"/>
      <c r="F51" s="2076"/>
      <c r="G51" s="1234"/>
      <c r="H51" s="1234"/>
      <c r="I51" s="1234"/>
      <c r="J51" s="1234"/>
      <c r="K51" s="1234"/>
      <c r="L51" s="1373"/>
      <c r="M51" s="1241"/>
      <c r="N51" s="1241"/>
      <c r="P51" s="1236"/>
      <c r="Q51" s="1237"/>
      <c r="R51" s="1236"/>
      <c r="S51" s="1242"/>
      <c r="T51" s="1245" t="s">
        <v>434</v>
      </c>
      <c r="U51" s="1244"/>
      <c r="V51" s="1244"/>
      <c r="W51" s="1244"/>
      <c r="X51" s="1244"/>
      <c r="Y51" s="1244"/>
      <c r="Z51" s="1244"/>
      <c r="AA51" s="1244"/>
      <c r="AB51" s="1244"/>
      <c r="AC51" s="1244"/>
      <c r="AD51" s="1244"/>
      <c r="AE51" s="1244"/>
      <c r="AF51" s="1244"/>
      <c r="AG51" s="1244"/>
      <c r="AH51" s="1244"/>
      <c r="AI51" s="1244"/>
      <c r="AJ51" s="1244"/>
      <c r="AK51" s="1244"/>
      <c r="AM51" s="702"/>
      <c r="AN51" s="702" t="str">
        <f t="shared" si="1"/>
        <v>Добавить централизованную систему для дифференциации</v>
      </c>
      <c r="AO51" s="702"/>
      <c r="AP51" s="702"/>
    </row>
    <row r="52" spans="1:42" s="1559" customFormat="1" ht="0" hidden="1" customHeight="1">
      <c r="A52" s="1262" t="s">
        <v>232</v>
      </c>
      <c r="B52" s="1262"/>
      <c r="C52" s="1262"/>
      <c r="D52" s="1262"/>
      <c r="E52" s="2076"/>
      <c r="F52" s="1262"/>
      <c r="G52" s="1262"/>
      <c r="H52" s="1262"/>
      <c r="I52" s="1262"/>
      <c r="J52" s="1262"/>
      <c r="K52" s="1262"/>
      <c r="L52" s="1265"/>
      <c r="M52" s="1241"/>
      <c r="N52" s="1241"/>
      <c r="O52" s="444"/>
      <c r="P52" s="308"/>
      <c r="Q52" s="1263"/>
      <c r="R52" s="308"/>
      <c r="S52" s="1242"/>
      <c r="T52" s="1245" t="s">
        <v>435</v>
      </c>
      <c r="U52" s="1244"/>
      <c r="V52" s="1244"/>
      <c r="W52" s="1244"/>
      <c r="X52" s="1244"/>
      <c r="Y52" s="1244"/>
      <c r="Z52" s="1244"/>
      <c r="AA52" s="1244"/>
      <c r="AB52" s="1244"/>
      <c r="AC52" s="1244"/>
      <c r="AD52" s="1244"/>
      <c r="AE52" s="1244"/>
      <c r="AF52" s="1244"/>
      <c r="AG52" s="1244"/>
      <c r="AH52" s="1244"/>
      <c r="AI52" s="1244"/>
      <c r="AJ52" s="1244"/>
      <c r="AK52" s="1244"/>
      <c r="AM52" s="426"/>
      <c r="AN52" s="426" t="str">
        <f t="shared" si="1"/>
        <v>Добавить территорию для дифференциации</v>
      </c>
      <c r="AO52" s="426"/>
      <c r="AP52" s="426"/>
    </row>
    <row r="53" spans="1:42" s="1559" customFormat="1" ht="0" hidden="1" customHeight="1">
      <c r="A53" s="1234"/>
      <c r="B53" s="1234"/>
      <c r="C53" s="1234"/>
      <c r="D53" s="1234"/>
      <c r="E53" s="1262"/>
      <c r="F53" s="1234"/>
      <c r="G53" s="1234"/>
      <c r="H53" s="1234"/>
      <c r="I53" s="1234"/>
      <c r="J53" s="1234"/>
      <c r="K53" s="1234"/>
      <c r="L53" s="1373"/>
      <c r="M53" s="1241"/>
      <c r="N53" s="1241"/>
      <c r="P53" s="1236"/>
      <c r="Q53" s="1237"/>
      <c r="R53" s="1236"/>
      <c r="S53" s="1242"/>
      <c r="T53" s="1245" t="s">
        <v>436</v>
      </c>
      <c r="U53" s="1244"/>
      <c r="V53" s="1244"/>
      <c r="W53" s="1244"/>
      <c r="X53" s="1244"/>
      <c r="Y53" s="1244"/>
      <c r="Z53" s="1244"/>
      <c r="AA53" s="1244"/>
      <c r="AB53" s="1244"/>
      <c r="AC53" s="1244"/>
      <c r="AD53" s="1244"/>
      <c r="AE53" s="1244"/>
      <c r="AF53" s="1244"/>
      <c r="AG53" s="1244"/>
      <c r="AH53" s="1244"/>
      <c r="AI53" s="1244"/>
      <c r="AJ53" s="1244"/>
      <c r="AK53" s="1244"/>
      <c r="AM53" s="702"/>
      <c r="AN53" s="702" t="str">
        <f t="shared" si="1"/>
        <v>Добавить наименование тарифа</v>
      </c>
      <c r="AO53" s="702"/>
      <c r="AP53" s="702"/>
    </row>
    <row r="54" spans="1:42" ht="11.25" hidden="1" customHeight="1">
      <c r="M54" s="1062"/>
      <c r="N54" s="1062"/>
      <c r="O54" s="462"/>
      <c r="P54" s="1057"/>
      <c r="Q54" s="1057"/>
      <c r="R54" s="1057"/>
      <c r="S54" s="1057"/>
      <c r="AL54" s="1057"/>
      <c r="AM54" s="1057"/>
      <c r="AN54" s="1057"/>
      <c r="AO54" s="1057"/>
      <c r="AP54" s="1057"/>
    </row>
    <row r="55" spans="1:42" ht="14.25" hidden="1" customHeight="1">
      <c r="O55" s="462"/>
      <c r="S55" s="1166" t="s">
        <v>508</v>
      </c>
      <c r="T55" s="2075" t="s">
        <v>1691</v>
      </c>
      <c r="U55" s="2075"/>
      <c r="V55" s="2075"/>
      <c r="W55" s="2075"/>
      <c r="X55" s="2075"/>
      <c r="Y55" s="2075"/>
      <c r="Z55" s="2075"/>
      <c r="AA55" s="2075"/>
      <c r="AB55" s="2075"/>
      <c r="AC55" s="2075"/>
      <c r="AD55" s="2075"/>
      <c r="AE55" s="2075"/>
      <c r="AF55" s="2075"/>
      <c r="AG55" s="2075"/>
      <c r="AH55" s="2075"/>
      <c r="AI55" s="2075"/>
      <c r="AJ55" s="2075"/>
      <c r="AK55" s="2075"/>
    </row>
    <row r="56" spans="1:42" ht="14.25" hidden="1" customHeight="1">
      <c r="O56" s="462"/>
    </row>
    <row r="57" spans="1:42" ht="14.25" hidden="1" customHeight="1">
      <c r="O57" s="462"/>
      <c r="S57" s="1166" t="s">
        <v>508</v>
      </c>
      <c r="T57" s="2075" t="s">
        <v>1692</v>
      </c>
      <c r="U57" s="2075"/>
      <c r="V57" s="2075"/>
      <c r="W57" s="2075"/>
      <c r="X57" s="2075"/>
      <c r="Y57" s="2075"/>
      <c r="Z57" s="2075"/>
      <c r="AA57" s="2075"/>
      <c r="AB57" s="2075"/>
      <c r="AC57" s="2075"/>
      <c r="AD57" s="2075"/>
      <c r="AE57" s="2075"/>
      <c r="AF57" s="2075"/>
      <c r="AG57" s="2075"/>
      <c r="AH57" s="2075"/>
      <c r="AI57" s="2075"/>
      <c r="AJ57" s="2075"/>
      <c r="AK57" s="2075"/>
    </row>
  </sheetData>
  <sheetProtection formatColumns="0" formatRows="0" insertRows="0" deleteColumns="0" deleteRows="0" sort="0" autoFilter="0"/>
  <mergeCells count="101">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 ref="AK7:AK8"/>
    <mergeCell ref="AF15:AF16"/>
    <mergeCell ref="AG15:AG16"/>
    <mergeCell ref="AH15:AH16"/>
    <mergeCell ref="AI15:AI16"/>
    <mergeCell ref="Z7:Z8"/>
    <mergeCell ref="AA7:AA8"/>
    <mergeCell ref="AB7:AB8"/>
    <mergeCell ref="AF7:AF8"/>
    <mergeCell ref="AG7:AG8"/>
    <mergeCell ref="AH7:AH8"/>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46:AK47"/>
    <mergeCell ref="T55:AK55"/>
    <mergeCell ref="T57:AK57"/>
    <mergeCell ref="K46:K47"/>
    <mergeCell ref="Y46:Y47"/>
    <mergeCell ref="Z46:Z47"/>
    <mergeCell ref="AA46:AA47"/>
    <mergeCell ref="AB46:AB47"/>
    <mergeCell ref="AF46:AF47"/>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BH68"/>
  <sheetViews>
    <sheetView showGridLines="0" topLeftCell="R27" zoomScale="90" workbookViewId="0"/>
  </sheetViews>
  <sheetFormatPr defaultColWidth="10.5703125" defaultRowHeight="14.25" customHeight="1"/>
  <cols>
    <col min="1" max="1" width="11.5703125" style="1284" hidden="1" customWidth="1"/>
    <col min="2" max="2" width="11" style="1284" hidden="1" customWidth="1"/>
    <col min="3" max="3" width="10.5703125" style="1284" hidden="1"/>
    <col min="4" max="4" width="12.85546875" style="1284" hidden="1" customWidth="1"/>
    <col min="5" max="5" width="10" style="1284" hidden="1" customWidth="1"/>
    <col min="6" max="6" width="8.7109375" style="1284" hidden="1" customWidth="1"/>
    <col min="7" max="7" width="7.5703125" style="1284" hidden="1" customWidth="1"/>
    <col min="8" max="8" width="11.42578125" style="1284" hidden="1" customWidth="1"/>
    <col min="9" max="9" width="12" style="1284" hidden="1" customWidth="1"/>
    <col min="10" max="10" width="9.85546875" style="1284" hidden="1" customWidth="1"/>
    <col min="11" max="11" width="11.42578125" style="1284" hidden="1" customWidth="1"/>
    <col min="12" max="12" width="19.140625" style="1799" hidden="1" customWidth="1"/>
    <col min="13" max="14" width="12.28515625" style="1696" hidden="1" customWidth="1"/>
    <col min="15" max="15" width="23.42578125" style="1696" hidden="1" customWidth="1"/>
    <col min="16" max="16" width="3.7109375" style="1696" hidden="1" customWidth="1"/>
    <col min="17" max="17" width="3.7109375" style="1289" hidden="1" customWidth="1"/>
    <col min="18" max="18" width="3.7109375" style="265" customWidth="1"/>
    <col min="19" max="19" width="12.7109375" style="1806" customWidth="1"/>
    <col min="20" max="20" width="32" style="1552" customWidth="1"/>
    <col min="21" max="21" width="0.140625" style="1552" customWidth="1"/>
    <col min="22" max="25" width="21.7109375" style="1552" hidden="1" customWidth="1"/>
    <col min="26" max="26" width="11.7109375" style="1552" hidden="1" customWidth="1"/>
    <col min="27" max="27" width="3.7109375" style="1552" hidden="1" customWidth="1"/>
    <col min="28" max="28" width="11.7109375" style="1552" hidden="1" customWidth="1"/>
    <col min="29" max="29" width="8.5703125" style="1552" hidden="1" customWidth="1"/>
    <col min="30" max="32" width="3.7109375" style="1552" customWidth="1"/>
    <col min="33" max="33" width="24.7109375" style="1552" customWidth="1"/>
    <col min="34" max="36" width="3.7109375" style="1552" customWidth="1"/>
    <col min="37" max="37" width="24.7109375" style="1552" customWidth="1"/>
    <col min="38" max="40" width="3.7109375" style="1552" customWidth="1"/>
    <col min="41" max="41" width="18.85546875" style="1552" customWidth="1"/>
    <col min="42" max="44" width="3.7109375" style="1552" customWidth="1"/>
    <col min="45" max="45" width="18.85546875" style="1552" customWidth="1"/>
    <col min="46" max="49" width="21.7109375" style="1552" customWidth="1"/>
    <col min="50" max="50" width="11.7109375" style="1552" customWidth="1"/>
    <col min="51" max="51" width="3.7109375" style="1552" customWidth="1"/>
    <col min="52" max="52" width="11.7109375" style="1552" customWidth="1"/>
    <col min="53" max="53" width="8.5703125" style="1552" hidden="1" customWidth="1"/>
    <col min="54" max="54" width="4.7109375" style="1552" customWidth="1"/>
    <col min="55" max="55" width="115.7109375" style="1552" customWidth="1"/>
    <col min="56" max="57" width="10.5703125" style="1559"/>
    <col min="58" max="58" width="11.140625" style="1559" customWidth="1"/>
    <col min="59" max="60" width="10.5703125" style="1559"/>
  </cols>
  <sheetData>
    <row r="1" spans="1:60" ht="14.25" hidden="1" customHeight="1">
      <c r="W1" s="249"/>
      <c r="Y1" s="249"/>
      <c r="Z1" s="249"/>
      <c r="AW1" s="249"/>
      <c r="AX1" s="249"/>
    </row>
    <row r="2" spans="1:60" ht="21" hidden="1" customHeight="1">
      <c r="A2" s="1281"/>
      <c r="B2" s="1281"/>
      <c r="C2" s="1281"/>
      <c r="D2" s="1281"/>
      <c r="E2" s="2076">
        <v>1</v>
      </c>
      <c r="F2" s="1281"/>
      <c r="G2" s="1281"/>
      <c r="H2" s="1281"/>
      <c r="I2" s="1281"/>
      <c r="J2" s="1281"/>
      <c r="K2" s="1281"/>
      <c r="L2" s="1282"/>
      <c r="M2" s="1283"/>
      <c r="N2" s="1283"/>
      <c r="O2" s="1283"/>
      <c r="P2" s="1327"/>
      <c r="Q2" s="786"/>
      <c r="R2" s="276"/>
      <c r="S2" s="1379" t="e">
        <f>INDEX(PT_DIFFERENTIATION_NUM_NTAR,MATCH(A2,PT_DIFFERENTIATION_NTAR_ID,0))</f>
        <v>#N/A</v>
      </c>
      <c r="T2" s="212" t="s">
        <v>128</v>
      </c>
      <c r="U2" s="214"/>
      <c r="V2" s="2071"/>
      <c r="W2" s="2071"/>
      <c r="X2" s="2071"/>
      <c r="Y2" s="2071"/>
      <c r="Z2" s="2071"/>
      <c r="AA2" s="2071"/>
      <c r="AB2" s="2071"/>
      <c r="AC2" s="2072"/>
      <c r="AD2" s="2070" t="e">
        <f>INDEX(PT_DIFFERENTIATION_NTAR,MATCH(A2,PT_DIFFERENTIATION_NTAR_ID,0))</f>
        <v>#N/A</v>
      </c>
      <c r="AE2" s="2071"/>
      <c r="AF2" s="2071"/>
      <c r="AG2" s="2071"/>
      <c r="AH2" s="2071"/>
      <c r="AI2" s="2071"/>
      <c r="AJ2" s="2071"/>
      <c r="AK2" s="2071"/>
      <c r="AL2" s="2071"/>
      <c r="AM2" s="2071"/>
      <c r="AN2" s="2071"/>
      <c r="AO2" s="2071"/>
      <c r="AP2" s="2071"/>
      <c r="AQ2" s="2071"/>
      <c r="AR2" s="2071"/>
      <c r="AS2" s="2071"/>
      <c r="AT2" s="2071"/>
      <c r="AU2" s="2071"/>
      <c r="AV2" s="2071"/>
      <c r="AW2" s="2071"/>
      <c r="AX2" s="2071"/>
      <c r="AY2" s="2071"/>
      <c r="AZ2" s="2071"/>
      <c r="BA2" s="2071"/>
      <c r="BB2" s="2072"/>
      <c r="BC2" s="117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426"/>
      <c r="BF2" s="426" t="str">
        <f t="shared" ref="BF2:BF8" si="0">IF(T2="","",T2)</f>
        <v>Наименование тарифа</v>
      </c>
      <c r="BG2" s="426"/>
      <c r="BH2" s="426"/>
    </row>
    <row r="3" spans="1:60" ht="21" hidden="1" customHeight="1">
      <c r="A3" s="1281"/>
      <c r="B3" s="1281"/>
      <c r="C3" s="1281"/>
      <c r="D3" s="1281"/>
      <c r="E3" s="2077"/>
      <c r="F3" s="2076">
        <v>1</v>
      </c>
      <c r="G3" s="1281"/>
      <c r="H3" s="1281"/>
      <c r="I3" s="1281"/>
      <c r="J3" s="1281"/>
      <c r="K3" s="1281"/>
      <c r="L3" s="1282"/>
      <c r="M3" s="1283"/>
      <c r="N3" s="1283"/>
      <c r="O3" s="1283"/>
      <c r="P3" s="1328"/>
      <c r="Q3" s="1329"/>
      <c r="R3" s="274"/>
      <c r="S3" s="1379" t="e">
        <f>INDEX(PT_DIFFERENTIATION_NUM_TER,MATCH(B3,PT_DIFFERENTIATION_TER_ID,0))</f>
        <v>#N/A</v>
      </c>
      <c r="T3" s="224" t="s">
        <v>460</v>
      </c>
      <c r="U3" s="214"/>
      <c r="V3" s="2071"/>
      <c r="W3" s="2071"/>
      <c r="X3" s="2071"/>
      <c r="Y3" s="2071"/>
      <c r="Z3" s="2071"/>
      <c r="AA3" s="2071"/>
      <c r="AB3" s="2071"/>
      <c r="AC3" s="2072"/>
      <c r="AD3" s="2070" t="e">
        <f>INDEX(PT_DIFFERENTIATION_TER,MATCH(B3,PT_DIFFERENTIATION_TER_ID,0))</f>
        <v>#N/A</v>
      </c>
      <c r="AE3" s="2071"/>
      <c r="AF3" s="2071"/>
      <c r="AG3" s="2071"/>
      <c r="AH3" s="2071"/>
      <c r="AI3" s="2071"/>
      <c r="AJ3" s="2071"/>
      <c r="AK3" s="2071"/>
      <c r="AL3" s="2071"/>
      <c r="AM3" s="2071"/>
      <c r="AN3" s="2071"/>
      <c r="AO3" s="2071"/>
      <c r="AP3" s="2071"/>
      <c r="AQ3" s="2071"/>
      <c r="AR3" s="2071"/>
      <c r="AS3" s="2071"/>
      <c r="AT3" s="2071"/>
      <c r="AU3" s="2071"/>
      <c r="AV3" s="2071"/>
      <c r="AW3" s="2071"/>
      <c r="AX3" s="2071"/>
      <c r="AY3" s="2071"/>
      <c r="AZ3" s="2071"/>
      <c r="BA3" s="2071"/>
      <c r="BB3" s="2072"/>
      <c r="BC3" s="1179" t="s">
        <v>461</v>
      </c>
      <c r="BE3" s="426"/>
      <c r="BF3" s="426" t="str">
        <f t="shared" si="0"/>
        <v>Территория действия тарифа</v>
      </c>
      <c r="BG3" s="426"/>
      <c r="BH3" s="426"/>
    </row>
    <row r="4" spans="1:60" ht="42" hidden="1" customHeight="1">
      <c r="A4" s="1281"/>
      <c r="B4" s="1281"/>
      <c r="C4" s="1281"/>
      <c r="D4" s="1281"/>
      <c r="E4" s="2077"/>
      <c r="F4" s="2077"/>
      <c r="G4" s="2076">
        <v>1</v>
      </c>
      <c r="H4" s="1281"/>
      <c r="I4" s="1281"/>
      <c r="J4" s="1281"/>
      <c r="K4" s="1281"/>
      <c r="L4" s="1282"/>
      <c r="M4" s="1283"/>
      <c r="N4" s="1283"/>
      <c r="O4" s="1283"/>
      <c r="P4" s="1330"/>
      <c r="Q4" s="1329"/>
      <c r="R4" s="274"/>
      <c r="S4" s="1379" t="e">
        <f>INDEX(PT_DIFFERENTIATION_NUM_CS,MATCH(C4,PT_DIFFERENTIATION_CS_ID,0))</f>
        <v>#N/A</v>
      </c>
      <c r="T4" s="225" t="s">
        <v>1676</v>
      </c>
      <c r="U4" s="214"/>
      <c r="V4" s="2071"/>
      <c r="W4" s="2071"/>
      <c r="X4" s="2071"/>
      <c r="Y4" s="2071"/>
      <c r="Z4" s="2071"/>
      <c r="AA4" s="2071"/>
      <c r="AB4" s="2071"/>
      <c r="AC4" s="2072"/>
      <c r="AD4" s="2070" t="e">
        <f>INDEX(PT_DIFFERENTIATION_CS,MATCH(C4,PT_DIFFERENTIATION_CS_ID,0))</f>
        <v>#N/A</v>
      </c>
      <c r="AE4" s="2071"/>
      <c r="AF4" s="2071"/>
      <c r="AG4" s="2071"/>
      <c r="AH4" s="2071"/>
      <c r="AI4" s="2071"/>
      <c r="AJ4" s="2071"/>
      <c r="AK4" s="2071"/>
      <c r="AL4" s="2071"/>
      <c r="AM4" s="2071"/>
      <c r="AN4" s="2071"/>
      <c r="AO4" s="2071"/>
      <c r="AP4" s="2071"/>
      <c r="AQ4" s="2071"/>
      <c r="AR4" s="2071"/>
      <c r="AS4" s="2071"/>
      <c r="AT4" s="2071"/>
      <c r="AU4" s="2071"/>
      <c r="AV4" s="2071"/>
      <c r="AW4" s="2071"/>
      <c r="AX4" s="2071"/>
      <c r="AY4" s="2071"/>
      <c r="AZ4" s="2071"/>
      <c r="BA4" s="2071"/>
      <c r="BB4" s="2072"/>
      <c r="BC4" s="1179" t="s">
        <v>1677</v>
      </c>
      <c r="BE4" s="426"/>
      <c r="BF4" s="426" t="str">
        <f t="shared" si="0"/>
        <v>Наименование централизованной системы холодного водоснабжения</v>
      </c>
      <c r="BG4" s="426"/>
      <c r="BH4" s="426"/>
    </row>
    <row r="5" spans="1:60" s="1559" customFormat="1" ht="14.25" hidden="1" customHeight="1">
      <c r="A5" s="1262"/>
      <c r="B5" s="1262"/>
      <c r="C5" s="1262"/>
      <c r="D5" s="1262"/>
      <c r="E5" s="2077"/>
      <c r="F5" s="2077"/>
      <c r="G5" s="2077"/>
      <c r="H5" s="2076">
        <v>1</v>
      </c>
      <c r="I5" s="1262"/>
      <c r="J5" s="1262"/>
      <c r="K5" s="1262"/>
      <c r="L5" s="1265"/>
      <c r="M5" s="1235"/>
      <c r="N5" s="1235"/>
      <c r="O5" s="1235"/>
      <c r="P5" s="1409"/>
      <c r="Q5" s="1410"/>
      <c r="R5" s="278"/>
      <c r="S5" s="950"/>
      <c r="T5" s="1411"/>
      <c r="U5" s="1302"/>
      <c r="V5" s="2106"/>
      <c r="W5" s="2106"/>
      <c r="X5" s="2106"/>
      <c r="Y5" s="2106"/>
      <c r="Z5" s="2106"/>
      <c r="AA5" s="2106"/>
      <c r="AB5" s="2106"/>
      <c r="AC5" s="2107"/>
      <c r="AD5" s="2105"/>
      <c r="AE5" s="2106"/>
      <c r="AF5" s="2106"/>
      <c r="AG5" s="2106"/>
      <c r="AH5" s="2106"/>
      <c r="AI5" s="2106"/>
      <c r="AJ5" s="2106"/>
      <c r="AK5" s="2106"/>
      <c r="AL5" s="2106"/>
      <c r="AM5" s="2106"/>
      <c r="AN5" s="2106"/>
      <c r="AO5" s="2106"/>
      <c r="AP5" s="2106"/>
      <c r="AQ5" s="2106"/>
      <c r="AR5" s="2106"/>
      <c r="AS5" s="2106"/>
      <c r="AT5" s="2106"/>
      <c r="AU5" s="2106"/>
      <c r="AV5" s="2106"/>
      <c r="AW5" s="2106"/>
      <c r="AX5" s="2106"/>
      <c r="AY5" s="2106"/>
      <c r="AZ5" s="2106"/>
      <c r="BA5" s="2106"/>
      <c r="BB5" s="2107"/>
      <c r="BC5" s="1303" t="s">
        <v>465</v>
      </c>
      <c r="BE5" s="426"/>
      <c r="BF5" s="426" t="str">
        <f t="shared" si="0"/>
        <v/>
      </c>
      <c r="BG5" s="426"/>
      <c r="BH5" s="426"/>
    </row>
    <row r="6" spans="1:60" s="1559" customFormat="1" ht="14.25" hidden="1" customHeight="1">
      <c r="A6" s="1262"/>
      <c r="B6" s="1262"/>
      <c r="C6" s="1262"/>
      <c r="D6" s="1262"/>
      <c r="E6" s="2077"/>
      <c r="F6" s="2077"/>
      <c r="G6" s="2077"/>
      <c r="H6" s="2077"/>
      <c r="I6" s="2078" t="str">
        <f>S5&amp;".1"</f>
        <v>.1</v>
      </c>
      <c r="J6" s="1262"/>
      <c r="K6" s="1262"/>
      <c r="L6" s="1265" t="s">
        <v>466</v>
      </c>
      <c r="M6" s="436"/>
      <c r="N6" s="436"/>
      <c r="O6" s="436"/>
      <c r="P6" s="1995">
        <v>1</v>
      </c>
      <c r="Q6" s="1376"/>
      <c r="R6" s="277"/>
      <c r="S6" s="950"/>
      <c r="T6" s="1301"/>
      <c r="U6" s="1302"/>
      <c r="V6" s="2106"/>
      <c r="W6" s="2106"/>
      <c r="X6" s="2106"/>
      <c r="Y6" s="2106"/>
      <c r="Z6" s="2106"/>
      <c r="AA6" s="2106"/>
      <c r="AB6" s="2106"/>
      <c r="AC6" s="2107"/>
      <c r="AD6" s="2105"/>
      <c r="AE6" s="2106"/>
      <c r="AF6" s="2106"/>
      <c r="AG6" s="2106"/>
      <c r="AH6" s="2106"/>
      <c r="AI6" s="2106"/>
      <c r="AJ6" s="2106"/>
      <c r="AK6" s="2106"/>
      <c r="AL6" s="2106"/>
      <c r="AM6" s="2106"/>
      <c r="AN6" s="2106"/>
      <c r="AO6" s="2106"/>
      <c r="AP6" s="2106"/>
      <c r="AQ6" s="2106"/>
      <c r="AR6" s="2106"/>
      <c r="AS6" s="2106"/>
      <c r="AT6" s="2106"/>
      <c r="AU6" s="2106"/>
      <c r="AV6" s="2106"/>
      <c r="AW6" s="2106"/>
      <c r="AX6" s="2106"/>
      <c r="AY6" s="2106"/>
      <c r="AZ6" s="2106"/>
      <c r="BA6" s="2106"/>
      <c r="BB6" s="2107"/>
      <c r="BC6" s="1303"/>
      <c r="BE6" s="426"/>
      <c r="BF6" s="426" t="str">
        <f t="shared" si="0"/>
        <v/>
      </c>
      <c r="BG6" s="426"/>
      <c r="BH6" s="426"/>
    </row>
    <row r="7" spans="1:60" s="1559" customFormat="1" ht="14.25" hidden="1" customHeight="1">
      <c r="A7" s="1262"/>
      <c r="B7" s="1262"/>
      <c r="C7" s="1262"/>
      <c r="D7" s="1262"/>
      <c r="E7" s="2077"/>
      <c r="F7" s="2077"/>
      <c r="G7" s="2077"/>
      <c r="H7" s="2077"/>
      <c r="I7" s="2079"/>
      <c r="J7" s="2078" t="str">
        <f>S5&amp;".1"</f>
        <v>.1</v>
      </c>
      <c r="K7" s="1262"/>
      <c r="L7" s="1265"/>
      <c r="M7" s="436"/>
      <c r="N7" s="436"/>
      <c r="O7" s="436"/>
      <c r="P7" s="1995"/>
      <c r="Q7" s="1995">
        <v>1</v>
      </c>
      <c r="R7" s="278"/>
      <c r="S7" s="950"/>
      <c r="T7" s="1317"/>
      <c r="U7" s="1302"/>
      <c r="V7" s="2106"/>
      <c r="W7" s="2106"/>
      <c r="X7" s="2106"/>
      <c r="Y7" s="2106"/>
      <c r="Z7" s="2106"/>
      <c r="AA7" s="2106"/>
      <c r="AB7" s="2106"/>
      <c r="AC7" s="2107"/>
      <c r="AD7" s="2105"/>
      <c r="AE7" s="2106"/>
      <c r="AF7" s="2106"/>
      <c r="AG7" s="2106"/>
      <c r="AH7" s="2106"/>
      <c r="AI7" s="2106"/>
      <c r="AJ7" s="2106"/>
      <c r="AK7" s="2106"/>
      <c r="AL7" s="2106"/>
      <c r="AM7" s="2106"/>
      <c r="AN7" s="2106"/>
      <c r="AO7" s="2106"/>
      <c r="AP7" s="2106"/>
      <c r="AQ7" s="2106"/>
      <c r="AR7" s="2106"/>
      <c r="AS7" s="2106"/>
      <c r="AT7" s="2106"/>
      <c r="AU7" s="2106"/>
      <c r="AV7" s="2106"/>
      <c r="AW7" s="2106"/>
      <c r="AX7" s="2106"/>
      <c r="AY7" s="2106"/>
      <c r="AZ7" s="2106"/>
      <c r="BA7" s="2106"/>
      <c r="BB7" s="2107"/>
      <c r="BC7" s="1303"/>
      <c r="BE7" s="426"/>
      <c r="BF7" s="426" t="str">
        <f t="shared" si="0"/>
        <v/>
      </c>
      <c r="BG7" s="426"/>
      <c r="BH7" s="426"/>
    </row>
    <row r="8" spans="1:60" ht="11.25" hidden="1" customHeight="1">
      <c r="A8" s="1281"/>
      <c r="B8" s="1281"/>
      <c r="C8" s="1281"/>
      <c r="D8" s="1281"/>
      <c r="E8" s="2077"/>
      <c r="F8" s="2077"/>
      <c r="G8" s="2077"/>
      <c r="H8" s="2077"/>
      <c r="I8" s="2079"/>
      <c r="J8" s="2079"/>
      <c r="K8" s="2078" t="e">
        <f>S4&amp;".1"</f>
        <v>#N/A</v>
      </c>
      <c r="L8" s="1282"/>
      <c r="P8" s="1995"/>
      <c r="Q8" s="1995"/>
      <c r="R8" s="2129">
        <v>1</v>
      </c>
      <c r="S8" s="2126" t="e">
        <f>$K8</f>
        <v>#N/A</v>
      </c>
      <c r="T8" s="2185"/>
      <c r="U8" s="214"/>
      <c r="V8" s="664"/>
      <c r="W8" s="1178"/>
      <c r="X8" s="664"/>
      <c r="Y8" s="1178"/>
      <c r="Z8" s="1650"/>
      <c r="AA8" s="1374" t="s">
        <v>59</v>
      </c>
      <c r="AB8" s="1650"/>
      <c r="AC8" s="1374" t="s">
        <v>59</v>
      </c>
      <c r="AD8" s="1941" t="s">
        <v>59</v>
      </c>
      <c r="AE8" s="2122"/>
      <c r="AF8" s="1954">
        <v>1</v>
      </c>
      <c r="AG8" s="2184"/>
      <c r="AH8" s="1885" t="s">
        <v>59</v>
      </c>
      <c r="AI8" s="2122"/>
      <c r="AJ8" s="1954">
        <v>1</v>
      </c>
      <c r="AK8" s="2183" t="s">
        <v>18</v>
      </c>
      <c r="AL8" s="1885" t="s">
        <v>59</v>
      </c>
      <c r="AM8" s="1929"/>
      <c r="AN8" s="1954">
        <v>1</v>
      </c>
      <c r="AO8" s="2188"/>
      <c r="AP8" s="2189" t="s">
        <v>59</v>
      </c>
      <c r="AQ8" s="227"/>
      <c r="AR8" s="1377">
        <v>1</v>
      </c>
      <c r="AS8" s="1380" t="s">
        <v>18</v>
      </c>
      <c r="AT8" s="664"/>
      <c r="AU8" s="1178"/>
      <c r="AV8" s="664"/>
      <c r="AW8" s="1178"/>
      <c r="AX8" s="1650"/>
      <c r="AY8" s="1374" t="s">
        <v>59</v>
      </c>
      <c r="AZ8" s="1650"/>
      <c r="BA8" s="1374" t="s">
        <v>59</v>
      </c>
      <c r="BB8" s="1267"/>
      <c r="BC8" s="2098" t="s">
        <v>1696</v>
      </c>
      <c r="BE8" s="426"/>
      <c r="BF8" s="426" t="str">
        <f t="shared" si="0"/>
        <v/>
      </c>
      <c r="BG8" s="426"/>
      <c r="BH8" s="426"/>
    </row>
    <row r="9" spans="1:60" ht="11.25" hidden="1" customHeight="1">
      <c r="A9" s="1281"/>
      <c r="B9" s="1281"/>
      <c r="C9" s="1281"/>
      <c r="D9" s="1281"/>
      <c r="E9" s="2077"/>
      <c r="F9" s="2077"/>
      <c r="G9" s="2077"/>
      <c r="H9" s="2077"/>
      <c r="I9" s="2079"/>
      <c r="J9" s="2079"/>
      <c r="K9" s="2078"/>
      <c r="L9" s="1282"/>
      <c r="P9" s="1995"/>
      <c r="Q9" s="1995"/>
      <c r="R9" s="2129"/>
      <c r="S9" s="2127"/>
      <c r="T9" s="2186"/>
      <c r="U9" s="214"/>
      <c r="V9" s="1311"/>
      <c r="W9" s="1408"/>
      <c r="X9" s="1311"/>
      <c r="Y9" s="1408"/>
      <c r="Z9" s="1311"/>
      <c r="AA9" s="1311"/>
      <c r="AB9" s="1311"/>
      <c r="AC9" s="1311"/>
      <c r="AD9" s="1942"/>
      <c r="AE9" s="2122"/>
      <c r="AF9" s="1954"/>
      <c r="AG9" s="2184"/>
      <c r="AH9" s="1885"/>
      <c r="AI9" s="2122"/>
      <c r="AJ9" s="1954"/>
      <c r="AK9" s="2183"/>
      <c r="AL9" s="1885"/>
      <c r="AM9" s="1934"/>
      <c r="AN9" s="1954"/>
      <c r="AO9" s="2188"/>
      <c r="AP9" s="2190"/>
      <c r="AQ9" s="234"/>
      <c r="AR9" s="346"/>
      <c r="AS9" s="346" t="s">
        <v>1697</v>
      </c>
      <c r="AT9" s="1311"/>
      <c r="AU9" s="1408"/>
      <c r="AV9" s="1311"/>
      <c r="AW9" s="1408"/>
      <c r="AX9" s="1311"/>
      <c r="AY9" s="1311"/>
      <c r="AZ9" s="1311"/>
      <c r="BA9" s="1311"/>
      <c r="BB9" s="1315"/>
      <c r="BC9" s="2099"/>
      <c r="BE9" s="426"/>
      <c r="BF9" s="426"/>
      <c r="BG9" s="426"/>
      <c r="BH9" s="426"/>
    </row>
    <row r="10" spans="1:60" ht="11.25" hidden="1" customHeight="1">
      <c r="A10" s="1281"/>
      <c r="B10" s="1281"/>
      <c r="C10" s="1281"/>
      <c r="D10" s="1281"/>
      <c r="E10" s="2077"/>
      <c r="F10" s="2077"/>
      <c r="G10" s="2077"/>
      <c r="H10" s="2077"/>
      <c r="I10" s="2079"/>
      <c r="J10" s="2079"/>
      <c r="K10" s="2078"/>
      <c r="L10" s="1282"/>
      <c r="P10" s="1995"/>
      <c r="Q10" s="1995"/>
      <c r="R10" s="2129"/>
      <c r="S10" s="2127"/>
      <c r="T10" s="2186"/>
      <c r="U10" s="214"/>
      <c r="V10" s="1311"/>
      <c r="W10" s="1408"/>
      <c r="X10" s="1311"/>
      <c r="Y10" s="1408"/>
      <c r="Z10" s="1311"/>
      <c r="AA10" s="1311"/>
      <c r="AB10" s="1311"/>
      <c r="AC10" s="1311"/>
      <c r="AD10" s="1942"/>
      <c r="AE10" s="2122"/>
      <c r="AF10" s="1954"/>
      <c r="AG10" s="2184"/>
      <c r="AH10" s="1885"/>
      <c r="AI10" s="2122"/>
      <c r="AJ10" s="1954"/>
      <c r="AK10" s="2183"/>
      <c r="AL10" s="1885"/>
      <c r="AM10" s="234"/>
      <c r="AN10" s="1412"/>
      <c r="AO10" s="1412" t="s">
        <v>1698</v>
      </c>
      <c r="AP10" s="346"/>
      <c r="AQ10" s="346"/>
      <c r="AR10" s="346"/>
      <c r="AS10" s="1311"/>
      <c r="AT10" s="1311"/>
      <c r="AU10" s="1408"/>
      <c r="AV10" s="1311"/>
      <c r="AW10" s="1408"/>
      <c r="AX10" s="1311"/>
      <c r="AY10" s="1311"/>
      <c r="AZ10" s="1311"/>
      <c r="BA10" s="1311"/>
      <c r="BB10" s="1315"/>
      <c r="BC10" s="2099"/>
      <c r="BE10" s="426"/>
      <c r="BF10" s="426"/>
      <c r="BG10" s="426"/>
      <c r="BH10" s="426"/>
    </row>
    <row r="11" spans="1:60" ht="11.25" hidden="1" customHeight="1">
      <c r="A11" s="1281"/>
      <c r="B11" s="1281"/>
      <c r="C11" s="1281"/>
      <c r="D11" s="1281"/>
      <c r="E11" s="2077"/>
      <c r="F11" s="2077"/>
      <c r="G11" s="2077"/>
      <c r="H11" s="2077"/>
      <c r="I11" s="2079"/>
      <c r="J11" s="2079"/>
      <c r="K11" s="2078"/>
      <c r="L11" s="1282"/>
      <c r="P11" s="1995"/>
      <c r="Q11" s="1995"/>
      <c r="R11" s="2129"/>
      <c r="S11" s="2127"/>
      <c r="T11" s="2186"/>
      <c r="U11" s="214"/>
      <c r="V11" s="1311"/>
      <c r="W11" s="1408"/>
      <c r="X11" s="1311"/>
      <c r="Y11" s="1408"/>
      <c r="Z11" s="1311"/>
      <c r="AA11" s="1311"/>
      <c r="AB11" s="1311"/>
      <c r="AC11" s="1311"/>
      <c r="AD11" s="1942"/>
      <c r="AE11" s="2122"/>
      <c r="AF11" s="1954"/>
      <c r="AG11" s="2184"/>
      <c r="AH11" s="1885"/>
      <c r="AI11" s="208"/>
      <c r="AJ11" s="345"/>
      <c r="AK11" s="229" t="s">
        <v>1699</v>
      </c>
      <c r="AL11" s="1311"/>
      <c r="AM11" s="1311"/>
      <c r="AN11" s="1311"/>
      <c r="AO11" s="1311"/>
      <c r="AP11" s="1311"/>
      <c r="AQ11" s="1311"/>
      <c r="AR11" s="1311"/>
      <c r="AS11" s="1311"/>
      <c r="AT11" s="1311"/>
      <c r="AU11" s="1408"/>
      <c r="AV11" s="1311"/>
      <c r="AW11" s="1408"/>
      <c r="AX11" s="1311"/>
      <c r="AY11" s="1311"/>
      <c r="AZ11" s="1311"/>
      <c r="BA11" s="1311"/>
      <c r="BB11" s="1315"/>
      <c r="BC11" s="2099"/>
      <c r="BE11" s="426"/>
      <c r="BF11" s="426"/>
      <c r="BG11" s="426"/>
      <c r="BH11" s="426"/>
    </row>
    <row r="12" spans="1:60" ht="11.25" hidden="1" customHeight="1">
      <c r="A12" s="1281"/>
      <c r="B12" s="1281"/>
      <c r="C12" s="1281"/>
      <c r="D12" s="1281"/>
      <c r="E12" s="2077"/>
      <c r="F12" s="2077"/>
      <c r="G12" s="2077"/>
      <c r="H12" s="2077"/>
      <c r="I12" s="2079"/>
      <c r="J12" s="2079"/>
      <c r="K12" s="2078"/>
      <c r="L12" s="1282"/>
      <c r="P12" s="1995"/>
      <c r="Q12" s="1995"/>
      <c r="R12" s="2129"/>
      <c r="S12" s="2128"/>
      <c r="T12" s="2187"/>
      <c r="U12" s="214"/>
      <c r="V12" s="1311"/>
      <c r="W12" s="1312" t="str">
        <f>Z8&amp;"-"&amp;AB8</f>
        <v>-</v>
      </c>
      <c r="X12" s="1311"/>
      <c r="Y12" s="1312" t="str">
        <f>AB8&amp;"-"&amp;AD8</f>
        <v>-да</v>
      </c>
      <c r="Z12" s="1311"/>
      <c r="AA12" s="1311"/>
      <c r="AB12" s="1311"/>
      <c r="AC12" s="1311"/>
      <c r="AD12" s="1890"/>
      <c r="AE12" s="228"/>
      <c r="AF12" s="230"/>
      <c r="AG12" s="346" t="s">
        <v>1700</v>
      </c>
      <c r="AH12" s="1311"/>
      <c r="AI12" s="1311"/>
      <c r="AJ12" s="1311"/>
      <c r="AK12" s="1311"/>
      <c r="AL12" s="1311"/>
      <c r="AM12" s="1311"/>
      <c r="AN12" s="1311"/>
      <c r="AO12" s="1311"/>
      <c r="AP12" s="1311"/>
      <c r="AQ12" s="1311"/>
      <c r="AR12" s="1311"/>
      <c r="AS12" s="1311"/>
      <c r="AT12" s="1311"/>
      <c r="AU12" s="1312" t="str">
        <f>AX8&amp;"-"&amp;AZ8</f>
        <v>-</v>
      </c>
      <c r="AV12" s="1311"/>
      <c r="AW12" s="1312" t="str">
        <f>AZ8&amp;"-"&amp;BB8</f>
        <v>-</v>
      </c>
      <c r="AX12" s="1311"/>
      <c r="AY12" s="1311"/>
      <c r="AZ12" s="1311"/>
      <c r="BA12" s="1311"/>
      <c r="BB12" s="1314" t="str">
        <f>BE8&amp;"-"&amp;BG8</f>
        <v>-</v>
      </c>
      <c r="BC12" s="2099"/>
      <c r="BE12" s="426"/>
      <c r="BF12" s="426" t="str">
        <f t="shared" ref="BF12:BF18" si="1">IF(T12="","",T12)</f>
        <v/>
      </c>
      <c r="BG12" s="426"/>
      <c r="BH12" s="426"/>
    </row>
    <row r="13" spans="1:60" ht="11.25" hidden="1" customHeight="1">
      <c r="A13" s="1281"/>
      <c r="B13" s="1281"/>
      <c r="C13" s="1281"/>
      <c r="D13" s="1281"/>
      <c r="E13" s="2077"/>
      <c r="F13" s="2077"/>
      <c r="G13" s="2077"/>
      <c r="H13" s="2077"/>
      <c r="I13" s="2079"/>
      <c r="J13" s="2078"/>
      <c r="K13" s="1281"/>
      <c r="L13" s="1282"/>
      <c r="P13" s="1995"/>
      <c r="Q13" s="1995"/>
      <c r="R13" s="277"/>
      <c r="S13" s="1200"/>
      <c r="T13" s="202" t="s">
        <v>540</v>
      </c>
      <c r="U13" s="291"/>
      <c r="V13" s="291"/>
      <c r="W13" s="291"/>
      <c r="X13" s="291"/>
      <c r="Y13" s="291"/>
      <c r="Z13" s="291"/>
      <c r="AA13" s="291"/>
      <c r="AB13" s="291"/>
      <c r="AC13" s="291"/>
      <c r="AD13" s="1417"/>
      <c r="AE13" s="291"/>
      <c r="AF13" s="291"/>
      <c r="AG13" s="291"/>
      <c r="AH13" s="291"/>
      <c r="AI13" s="291"/>
      <c r="AJ13" s="291"/>
      <c r="AK13" s="291"/>
      <c r="AL13" s="291"/>
      <c r="AM13" s="291"/>
      <c r="AN13" s="291"/>
      <c r="AO13" s="291"/>
      <c r="AP13" s="291"/>
      <c r="AQ13" s="291"/>
      <c r="AR13" s="291"/>
      <c r="AS13" s="291"/>
      <c r="AT13" s="291"/>
      <c r="AU13" s="291"/>
      <c r="AV13" s="291"/>
      <c r="AW13" s="291"/>
      <c r="AX13" s="291"/>
      <c r="AY13" s="291"/>
      <c r="AZ13" s="291"/>
      <c r="BA13" s="291"/>
      <c r="BB13" s="245"/>
      <c r="BC13" s="2100"/>
      <c r="BE13" s="426"/>
      <c r="BF13" s="426" t="str">
        <f t="shared" si="1"/>
        <v>Добавить строку</v>
      </c>
      <c r="BG13" s="426"/>
      <c r="BH13" s="426"/>
    </row>
    <row r="14" spans="1:60" s="1559" customFormat="1" ht="14.25" hidden="1" customHeight="1">
      <c r="A14" s="1262"/>
      <c r="B14" s="1262"/>
      <c r="C14" s="1262"/>
      <c r="D14" s="1262"/>
      <c r="E14" s="2077"/>
      <c r="F14" s="2077"/>
      <c r="G14" s="2077"/>
      <c r="H14" s="2077"/>
      <c r="I14" s="2078"/>
      <c r="J14" s="1262"/>
      <c r="K14" s="1262"/>
      <c r="L14" s="1265"/>
      <c r="M14" s="436"/>
      <c r="N14" s="436"/>
      <c r="O14" s="436"/>
      <c r="P14" s="1995"/>
      <c r="Q14" s="1376"/>
      <c r="R14" s="277"/>
      <c r="S14" s="1304"/>
      <c r="T14" s="1305"/>
      <c r="U14" s="1306"/>
      <c r="V14" s="1306"/>
      <c r="W14" s="1306"/>
      <c r="X14" s="1306"/>
      <c r="Y14" s="1306"/>
      <c r="Z14" s="1306"/>
      <c r="AA14" s="1306"/>
      <c r="AB14" s="1306"/>
      <c r="AC14" s="1306"/>
      <c r="AD14" s="1306"/>
      <c r="AE14" s="1306"/>
      <c r="AF14" s="1306"/>
      <c r="AG14" s="1306"/>
      <c r="AH14" s="1306"/>
      <c r="AI14" s="1306"/>
      <c r="AJ14" s="1306"/>
      <c r="AK14" s="1306"/>
      <c r="AL14" s="1306"/>
      <c r="AM14" s="1306"/>
      <c r="AN14" s="1306"/>
      <c r="AO14" s="1306"/>
      <c r="AP14" s="1306"/>
      <c r="AQ14" s="1306"/>
      <c r="AR14" s="1306"/>
      <c r="AS14" s="1306"/>
      <c r="AT14" s="1306"/>
      <c r="AU14" s="1306"/>
      <c r="AV14" s="1306"/>
      <c r="AW14" s="1306"/>
      <c r="AX14" s="1306"/>
      <c r="AY14" s="1306"/>
      <c r="AZ14" s="1306"/>
      <c r="BA14" s="1306"/>
      <c r="BB14" s="1306"/>
      <c r="BC14" s="1307"/>
      <c r="BE14" s="426"/>
      <c r="BF14" s="426" t="str">
        <f t="shared" si="1"/>
        <v/>
      </c>
      <c r="BG14" s="426"/>
      <c r="BH14" s="426"/>
    </row>
    <row r="15" spans="1:60" s="1559" customFormat="1" ht="14.25" hidden="1" customHeight="1">
      <c r="A15" s="1262"/>
      <c r="B15" s="1262"/>
      <c r="C15" s="1262"/>
      <c r="D15" s="1262"/>
      <c r="E15" s="2077"/>
      <c r="F15" s="2077"/>
      <c r="G15" s="2077"/>
      <c r="H15" s="2076"/>
      <c r="I15" s="1262"/>
      <c r="J15" s="1262"/>
      <c r="K15" s="1262"/>
      <c r="L15" s="1265"/>
      <c r="M15" s="1235"/>
      <c r="N15" s="1235"/>
      <c r="O15" s="444"/>
      <c r="P15" s="308"/>
      <c r="Q15" s="1263"/>
      <c r="R15" s="1319"/>
      <c r="S15" s="1304"/>
      <c r="T15" s="1305"/>
      <c r="U15" s="1306"/>
      <c r="V15" s="1306"/>
      <c r="W15" s="1306"/>
      <c r="X15" s="1306"/>
      <c r="Y15" s="1306"/>
      <c r="Z15" s="1306"/>
      <c r="AA15" s="1306"/>
      <c r="AB15" s="1306"/>
      <c r="AC15" s="1306"/>
      <c r="AD15" s="1306"/>
      <c r="AE15" s="1306"/>
      <c r="AF15" s="1306"/>
      <c r="AG15" s="1306"/>
      <c r="AH15" s="1306"/>
      <c r="AI15" s="1306"/>
      <c r="AJ15" s="1306"/>
      <c r="AK15" s="1306"/>
      <c r="AL15" s="1306"/>
      <c r="AM15" s="1306"/>
      <c r="AN15" s="1306"/>
      <c r="AO15" s="1306"/>
      <c r="AP15" s="1306"/>
      <c r="AQ15" s="1306"/>
      <c r="AR15" s="1306"/>
      <c r="AS15" s="1306"/>
      <c r="AT15" s="1306"/>
      <c r="AU15" s="1306"/>
      <c r="AV15" s="1306"/>
      <c r="AW15" s="1306"/>
      <c r="AX15" s="1306"/>
      <c r="AY15" s="1306"/>
      <c r="AZ15" s="1306"/>
      <c r="BA15" s="1306"/>
      <c r="BB15" s="1306"/>
      <c r="BC15" s="1307"/>
      <c r="BE15" s="426"/>
      <c r="BF15" s="426" t="str">
        <f t="shared" si="1"/>
        <v/>
      </c>
      <c r="BG15" s="426"/>
      <c r="BH15" s="426"/>
    </row>
    <row r="16" spans="1:60" s="1559" customFormat="1" ht="14.25" hidden="1" customHeight="1">
      <c r="A16" s="1262"/>
      <c r="B16" s="1262"/>
      <c r="C16" s="1262"/>
      <c r="D16" s="1234"/>
      <c r="E16" s="2077"/>
      <c r="F16" s="2077"/>
      <c r="G16" s="2076"/>
      <c r="H16" s="1234"/>
      <c r="I16" s="1234"/>
      <c r="J16" s="1234"/>
      <c r="K16" s="1234"/>
      <c r="L16" s="1378"/>
      <c r="M16" s="1235"/>
      <c r="N16" s="1235"/>
      <c r="P16" s="1236"/>
      <c r="Q16" s="1237"/>
      <c r="R16" s="1236"/>
      <c r="S16" s="1242"/>
      <c r="T16" s="1245"/>
      <c r="U16" s="1244"/>
      <c r="V16" s="1244"/>
      <c r="W16" s="1244"/>
      <c r="X16" s="1244"/>
      <c r="Y16" s="1244"/>
      <c r="Z16" s="1244"/>
      <c r="AA16" s="1244"/>
      <c r="AB16" s="1244"/>
      <c r="AC16" s="1244"/>
      <c r="AD16" s="1244"/>
      <c r="AE16" s="1244"/>
      <c r="AF16" s="1244"/>
      <c r="AG16" s="1244"/>
      <c r="AH16" s="1244"/>
      <c r="AI16" s="1244"/>
      <c r="AJ16" s="1244"/>
      <c r="AK16" s="1244"/>
      <c r="AL16" s="1244"/>
      <c r="AM16" s="1244"/>
      <c r="AN16" s="1244"/>
      <c r="AO16" s="1244"/>
      <c r="AP16" s="1244"/>
      <c r="AQ16" s="1244"/>
      <c r="AR16" s="1244"/>
      <c r="AS16" s="1244"/>
      <c r="AT16" s="1244"/>
      <c r="AU16" s="1244"/>
      <c r="AV16" s="1244"/>
      <c r="AW16" s="1244"/>
      <c r="AX16" s="1244"/>
      <c r="AY16" s="1244"/>
      <c r="AZ16" s="1244"/>
      <c r="BA16" s="1244"/>
      <c r="BB16" s="1244"/>
      <c r="BC16" s="1244"/>
      <c r="BE16" s="702"/>
      <c r="BF16" s="702" t="str">
        <f t="shared" si="1"/>
        <v/>
      </c>
      <c r="BG16" s="702"/>
      <c r="BH16" s="702"/>
    </row>
    <row r="17" spans="1:60" s="1559" customFormat="1" ht="14.25" hidden="1" customHeight="1">
      <c r="A17" s="1262"/>
      <c r="B17" s="1262"/>
      <c r="C17" s="1234"/>
      <c r="D17" s="1234"/>
      <c r="E17" s="2077"/>
      <c r="F17" s="2076"/>
      <c r="G17" s="1234"/>
      <c r="H17" s="1234"/>
      <c r="I17" s="1234"/>
      <c r="J17" s="1234"/>
      <c r="K17" s="1234"/>
      <c r="L17" s="1378"/>
      <c r="M17" s="1241"/>
      <c r="N17" s="1241"/>
      <c r="P17" s="1236"/>
      <c r="Q17" s="1237"/>
      <c r="R17" s="1236"/>
      <c r="S17" s="1242"/>
      <c r="T17" s="1245" t="s">
        <v>434</v>
      </c>
      <c r="U17" s="1244"/>
      <c r="V17" s="1244"/>
      <c r="W17" s="1244"/>
      <c r="X17" s="1244"/>
      <c r="Y17" s="1244"/>
      <c r="Z17" s="1244"/>
      <c r="AA17" s="1244"/>
      <c r="AB17" s="1244"/>
      <c r="AC17" s="1244"/>
      <c r="AD17" s="1244"/>
      <c r="AE17" s="1244"/>
      <c r="AF17" s="1244"/>
      <c r="AG17" s="1244"/>
      <c r="AH17" s="1244"/>
      <c r="AI17" s="1244"/>
      <c r="AJ17" s="1244"/>
      <c r="AK17" s="1244"/>
      <c r="AL17" s="1244"/>
      <c r="AM17" s="1244"/>
      <c r="AN17" s="1244"/>
      <c r="AO17" s="1244"/>
      <c r="AP17" s="1244"/>
      <c r="AQ17" s="1244"/>
      <c r="AR17" s="1244"/>
      <c r="AS17" s="1244"/>
      <c r="AT17" s="1244"/>
      <c r="AU17" s="1244"/>
      <c r="AV17" s="1244"/>
      <c r="AW17" s="1244"/>
      <c r="AX17" s="1244"/>
      <c r="AY17" s="1244"/>
      <c r="AZ17" s="1244"/>
      <c r="BA17" s="1244"/>
      <c r="BB17" s="1244"/>
      <c r="BC17" s="1244"/>
      <c r="BE17" s="702"/>
      <c r="BF17" s="702" t="str">
        <f t="shared" si="1"/>
        <v>Добавить централизованную систему для дифференциации</v>
      </c>
      <c r="BG17" s="702"/>
      <c r="BH17" s="702"/>
    </row>
    <row r="18" spans="1:60" s="1559" customFormat="1" ht="14.25" hidden="1" customHeight="1">
      <c r="A18" s="1262"/>
      <c r="B18" s="1262"/>
      <c r="C18" s="1262"/>
      <c r="D18" s="1262"/>
      <c r="E18" s="2076"/>
      <c r="F18" s="1262"/>
      <c r="G18" s="1262"/>
      <c r="H18" s="1262"/>
      <c r="I18" s="1262"/>
      <c r="J18" s="1262"/>
      <c r="K18" s="1262"/>
      <c r="L18" s="1265"/>
      <c r="M18" s="1241"/>
      <c r="N18" s="1241"/>
      <c r="O18" s="444"/>
      <c r="P18" s="308"/>
      <c r="Q18" s="1263"/>
      <c r="R18" s="308"/>
      <c r="S18" s="1242"/>
      <c r="T18" s="1245" t="s">
        <v>435</v>
      </c>
      <c r="U18" s="1244"/>
      <c r="V18" s="1244"/>
      <c r="W18" s="1244"/>
      <c r="X18" s="1244"/>
      <c r="Y18" s="1244"/>
      <c r="Z18" s="1244"/>
      <c r="AA18" s="1244"/>
      <c r="AB18" s="1244"/>
      <c r="AC18" s="1244"/>
      <c r="AD18" s="1244"/>
      <c r="AE18" s="1244"/>
      <c r="AF18" s="1244"/>
      <c r="AG18" s="1244"/>
      <c r="AH18" s="1244"/>
      <c r="AI18" s="1244"/>
      <c r="AJ18" s="1244"/>
      <c r="AK18" s="1244"/>
      <c r="AL18" s="1244"/>
      <c r="AM18" s="1244"/>
      <c r="AN18" s="1244"/>
      <c r="AO18" s="1244"/>
      <c r="AP18" s="1244"/>
      <c r="AQ18" s="1244"/>
      <c r="AR18" s="1244"/>
      <c r="AS18" s="1244"/>
      <c r="AT18" s="1244"/>
      <c r="AU18" s="1244"/>
      <c r="AV18" s="1244"/>
      <c r="AW18" s="1244"/>
      <c r="AX18" s="1244"/>
      <c r="AY18" s="1244"/>
      <c r="AZ18" s="1244"/>
      <c r="BA18" s="1244"/>
      <c r="BB18" s="1244"/>
      <c r="BC18" s="1244"/>
      <c r="BE18" s="426"/>
      <c r="BF18" s="426" t="str">
        <f t="shared" si="1"/>
        <v>Добавить территорию для дифференциации</v>
      </c>
      <c r="BG18" s="426"/>
      <c r="BH18" s="426"/>
    </row>
    <row r="19" spans="1:60" ht="14.25" hidden="1" customHeight="1">
      <c r="AC19" s="249"/>
      <c r="BA19" s="249"/>
    </row>
    <row r="20" spans="1:60" ht="14.25" hidden="1" customHeight="1">
      <c r="AD20" s="1244" t="s">
        <v>57</v>
      </c>
      <c r="AE20" s="1413"/>
      <c r="AF20" s="472">
        <v>1</v>
      </c>
      <c r="AG20" s="1414"/>
      <c r="AH20" s="1244" t="s">
        <v>57</v>
      </c>
      <c r="AI20" s="1413"/>
      <c r="AJ20" s="472">
        <v>1</v>
      </c>
      <c r="AK20" s="1414"/>
      <c r="AL20" s="1244" t="s">
        <v>57</v>
      </c>
      <c r="AM20" s="1415"/>
      <c r="AN20" s="472">
        <v>1</v>
      </c>
      <c r="AO20" s="1416"/>
      <c r="AP20" s="1244" t="s">
        <v>57</v>
      </c>
      <c r="AQ20" s="1415"/>
      <c r="AR20" s="472">
        <v>1</v>
      </c>
      <c r="AS20" s="1416"/>
      <c r="AT20" s="246"/>
      <c r="AU20" s="313"/>
      <c r="AV20" s="246"/>
      <c r="AW20" s="313"/>
      <c r="AX20" s="1652"/>
      <c r="AY20" s="1375" t="s">
        <v>59</v>
      </c>
      <c r="AZ20" s="1652"/>
      <c r="BA20" s="1375" t="s">
        <v>59</v>
      </c>
    </row>
    <row r="21" spans="1:60" ht="14.25" hidden="1" customHeight="1">
      <c r="BD21" s="422"/>
      <c r="BE21" s="422"/>
      <c r="BF21" s="422"/>
      <c r="BG21" s="422"/>
      <c r="BH21" s="422"/>
    </row>
    <row r="22" spans="1:60" ht="14.25" hidden="1" customHeight="1">
      <c r="O22" s="1285" t="s">
        <v>477</v>
      </c>
      <c r="Z22" s="1264"/>
      <c r="AB22" s="1264"/>
      <c r="AC22" s="249"/>
      <c r="AX22" s="1264"/>
      <c r="AZ22" s="1264"/>
      <c r="BA22" s="249"/>
      <c r="BD22" s="422"/>
      <c r="BE22" s="422"/>
      <c r="BF22" s="422"/>
      <c r="BG22" s="422"/>
      <c r="BH22" s="422"/>
    </row>
    <row r="23" spans="1:60" ht="14.25" hidden="1" customHeight="1">
      <c r="AC23" s="249"/>
      <c r="BA23" s="249"/>
      <c r="BD23" s="422"/>
      <c r="BE23" s="422"/>
      <c r="BF23" s="422"/>
      <c r="BG23" s="422"/>
      <c r="BH23" s="422"/>
    </row>
    <row r="24" spans="1:60" s="1421" customFormat="1" ht="14.25" hidden="1" customHeight="1">
      <c r="M24" s="1420"/>
      <c r="N24" s="1420"/>
      <c r="O24" s="1421" t="s">
        <v>478</v>
      </c>
      <c r="P24" s="1420"/>
      <c r="Q24" s="1422"/>
      <c r="R24" s="1422"/>
      <c r="AA24" s="1419" t="s">
        <v>480</v>
      </c>
      <c r="AC24" s="1419" t="s">
        <v>481</v>
      </c>
      <c r="AD24" s="1419" t="s">
        <v>541</v>
      </c>
      <c r="AH24" s="1419" t="s">
        <v>541</v>
      </c>
      <c r="AK24" s="1419" t="s">
        <v>1701</v>
      </c>
      <c r="AL24" s="1419" t="s">
        <v>541</v>
      </c>
      <c r="AP24" s="1419" t="s">
        <v>541</v>
      </c>
      <c r="AY24" s="1419" t="s">
        <v>480</v>
      </c>
      <c r="BA24" s="1419" t="s">
        <v>481</v>
      </c>
      <c r="BD24" s="1423"/>
      <c r="BE24" s="1423"/>
      <c r="BF24" s="1423"/>
      <c r="BG24" s="1423"/>
      <c r="BH24" s="1423"/>
    </row>
    <row r="25" spans="1:60" ht="14.25" hidden="1" customHeight="1">
      <c r="O25" s="1282"/>
      <c r="BD25" s="422"/>
      <c r="BE25" s="422"/>
      <c r="BF25" s="422"/>
      <c r="BG25" s="422"/>
      <c r="BH25" s="422"/>
    </row>
    <row r="26" spans="1:60" ht="14.25" hidden="1" customHeight="1">
      <c r="O26" s="1282"/>
      <c r="BD26" s="422"/>
      <c r="BE26" s="422"/>
      <c r="BF26" s="422"/>
      <c r="BG26" s="422"/>
      <c r="BH26" s="422"/>
    </row>
    <row r="27" spans="1:60" ht="14.25" customHeight="1">
      <c r="Q27" s="206"/>
      <c r="R27" s="300"/>
      <c r="S27" s="1197"/>
      <c r="T27" s="286"/>
      <c r="U27" s="286"/>
      <c r="V27" s="435"/>
      <c r="W27" s="435"/>
      <c r="X27" s="435"/>
      <c r="Y27" s="435"/>
      <c r="Z27" s="435"/>
      <c r="AA27" s="435"/>
      <c r="AB27" s="435"/>
      <c r="AC27" s="435"/>
      <c r="AD27" s="435"/>
      <c r="AE27" s="435"/>
      <c r="AF27" s="435"/>
      <c r="AG27" s="435"/>
      <c r="AH27" s="435"/>
      <c r="AI27" s="435"/>
      <c r="AJ27" s="435"/>
      <c r="AK27" s="435"/>
      <c r="AL27" s="435"/>
      <c r="AM27" s="435"/>
      <c r="AN27" s="435"/>
      <c r="AO27" s="435"/>
      <c r="AP27" s="435"/>
      <c r="AQ27" s="435"/>
      <c r="AR27" s="435"/>
      <c r="AS27" s="435"/>
      <c r="AT27" s="435"/>
      <c r="AU27" s="435"/>
      <c r="AV27" s="435"/>
      <c r="AW27" s="435"/>
      <c r="AX27" s="435"/>
      <c r="AY27" s="435"/>
      <c r="AZ27" s="435"/>
      <c r="BA27" s="435"/>
    </row>
    <row r="28" spans="1:60" ht="33.75" customHeight="1">
      <c r="Q28" s="206"/>
      <c r="R28" s="300"/>
      <c r="S28" s="2101" t="str">
        <f>IF(TEMPLATE_GROUP="P",PT_P_FORM_COLDVSNA_5_NAME_FORM,PT_R_FORM_COLDVSNA_17_NAME_FORM)</f>
        <v>Форма 16. Информация о предложении организации холодного водоснабжения расчетной величины тарифов на подключение (технологическое присоединение) к централизованной системе холодного водоснабжения &lt;1&gt;</v>
      </c>
      <c r="T28" s="2101"/>
      <c r="U28" s="2101"/>
      <c r="V28" s="2101"/>
      <c r="W28" s="2101"/>
      <c r="X28" s="2101"/>
      <c r="Y28" s="2101"/>
      <c r="Z28" s="2101"/>
      <c r="AA28" s="2101"/>
      <c r="AB28" s="2101"/>
      <c r="AC28" s="2101"/>
      <c r="AD28" s="2101"/>
      <c r="AE28" s="2101"/>
      <c r="AF28" s="2101"/>
      <c r="AG28" s="2101"/>
      <c r="AH28" s="2101"/>
      <c r="AI28" s="2101"/>
      <c r="AJ28" s="2101"/>
      <c r="AK28" s="2101"/>
      <c r="AL28" s="2101"/>
      <c r="AM28" s="2101"/>
      <c r="AN28" s="2101"/>
      <c r="AO28" s="2101"/>
      <c r="AP28" s="2101"/>
      <c r="AQ28" s="2101"/>
      <c r="AR28" s="2101"/>
      <c r="AS28" s="2101"/>
      <c r="AT28" s="2101"/>
      <c r="AU28" s="2101"/>
      <c r="AV28" s="2101"/>
      <c r="AW28" s="2101"/>
      <c r="AX28" s="2101"/>
      <c r="AY28" s="2101"/>
      <c r="AZ28" s="2101"/>
      <c r="BA28" s="1154"/>
    </row>
    <row r="29" spans="1:60" ht="14.25" customHeight="1">
      <c r="Q29" s="206"/>
      <c r="R29" s="300"/>
      <c r="S29" s="1961" t="str">
        <f>IF(org=0,"Не определено",org)</f>
        <v>АО СЗ "КМАпроектжилстрой"</v>
      </c>
      <c r="T29" s="1961"/>
      <c r="U29" s="1961"/>
      <c r="V29" s="1961"/>
      <c r="W29" s="1961"/>
      <c r="X29" s="1961"/>
      <c r="Y29" s="1961"/>
      <c r="Z29" s="1961"/>
      <c r="AA29" s="1961"/>
      <c r="AB29" s="1961"/>
      <c r="AC29" s="1961"/>
      <c r="AD29" s="1961"/>
      <c r="AE29" s="1961"/>
      <c r="AF29" s="1961"/>
      <c r="AG29" s="1961"/>
      <c r="AH29" s="1961"/>
      <c r="AI29" s="1961"/>
      <c r="AJ29" s="1961"/>
      <c r="AK29" s="1961"/>
      <c r="AL29" s="1961"/>
      <c r="AM29" s="1961"/>
      <c r="AN29" s="1961"/>
      <c r="AO29" s="1961"/>
      <c r="AP29" s="1961"/>
      <c r="AQ29" s="1961"/>
      <c r="AR29" s="1961"/>
      <c r="AS29" s="1961"/>
      <c r="AT29" s="1961"/>
      <c r="AU29" s="1961"/>
      <c r="AV29" s="1961"/>
      <c r="AW29" s="1961"/>
      <c r="AX29" s="1961"/>
      <c r="AY29" s="1961"/>
      <c r="AZ29" s="1961"/>
      <c r="BA29" s="1154"/>
    </row>
    <row r="30" spans="1:60" ht="14.25" hidden="1" customHeight="1">
      <c r="Q30" s="206"/>
      <c r="R30" s="300"/>
      <c r="S30" s="1197"/>
      <c r="T30" s="286"/>
      <c r="U30" s="286"/>
      <c r="V30" s="242"/>
      <c r="W30" s="242"/>
      <c r="X30" s="242"/>
      <c r="Y30" s="242"/>
      <c r="Z30" s="242"/>
      <c r="AA30" s="242"/>
      <c r="AB30" s="242"/>
      <c r="AC30" s="242"/>
      <c r="AD30" s="242"/>
      <c r="AE30" s="242"/>
      <c r="AF30" s="242"/>
      <c r="AG30" s="242"/>
      <c r="AH30" s="242"/>
      <c r="AI30" s="242"/>
      <c r="AJ30" s="242"/>
      <c r="AK30" s="242"/>
      <c r="AL30" s="242"/>
      <c r="AM30" s="242"/>
      <c r="AN30" s="242"/>
      <c r="AO30" s="242"/>
      <c r="AP30" s="242"/>
      <c r="AQ30" s="242"/>
      <c r="AR30" s="242"/>
      <c r="AS30" s="242"/>
      <c r="AT30" s="242"/>
      <c r="AU30" s="242"/>
      <c r="AV30" s="242"/>
      <c r="AW30" s="242"/>
      <c r="AX30" s="242"/>
      <c r="AY30" s="242"/>
      <c r="AZ30" s="242"/>
      <c r="BA30" s="242"/>
      <c r="BB30" s="435"/>
    </row>
    <row r="31" spans="1:60" s="1773" customFormat="1" ht="25.5" hidden="1" customHeight="1">
      <c r="A31" s="1286"/>
      <c r="B31" s="1286"/>
      <c r="C31" s="1286"/>
      <c r="D31" s="1286"/>
      <c r="E31" s="1286"/>
      <c r="F31" s="1286"/>
      <c r="G31" s="1286"/>
      <c r="H31" s="1286"/>
      <c r="I31" s="1286"/>
      <c r="J31" s="1286"/>
      <c r="K31" s="1286"/>
      <c r="L31" s="1287"/>
      <c r="M31" s="1286"/>
      <c r="N31" s="1286"/>
      <c r="O31" s="1286"/>
      <c r="P31" s="1286"/>
      <c r="Q31" s="1286"/>
      <c r="S31" s="2067" t="s">
        <v>40</v>
      </c>
      <c r="T31" s="2067"/>
      <c r="U31" s="1290"/>
      <c r="V31" s="2069"/>
      <c r="W31" s="2069"/>
      <c r="X31" s="2069"/>
      <c r="Y31" s="2069"/>
      <c r="Z31" s="2069"/>
      <c r="AA31" s="2069"/>
      <c r="AB31" s="2069"/>
      <c r="AC31" s="248"/>
      <c r="AD31" s="2069" t="str">
        <f>IF(TITLE_NAME_OR_PR_CHANGE="",IF(TITLE_NAME_OR_PR="","",TITLE_NAME_OR_PR),TITLE_NAME_OR_PR_CHANGE)</f>
        <v/>
      </c>
      <c r="AE31" s="2069"/>
      <c r="AF31" s="2069"/>
      <c r="AG31" s="2069"/>
      <c r="AH31" s="2069"/>
      <c r="AI31" s="2069"/>
      <c r="AJ31" s="2069"/>
      <c r="AK31" s="2069"/>
      <c r="AL31" s="2069"/>
      <c r="AM31" s="2069"/>
      <c r="AN31" s="2069"/>
      <c r="AO31" s="2069"/>
      <c r="AP31" s="2069"/>
      <c r="AQ31" s="2069"/>
      <c r="AR31" s="2069"/>
      <c r="AS31" s="2069"/>
      <c r="AT31" s="2069"/>
      <c r="AU31" s="2069"/>
      <c r="AV31" s="2069"/>
      <c r="AW31" s="2069"/>
      <c r="AX31" s="2069"/>
      <c r="AY31" s="2069"/>
      <c r="AZ31" s="2069"/>
      <c r="BA31" s="248"/>
      <c r="BB31" s="248"/>
      <c r="BC31" s="196"/>
      <c r="BD31" s="292"/>
      <c r="BE31" s="292"/>
      <c r="BF31" s="292"/>
      <c r="BG31" s="292"/>
      <c r="BH31" s="292"/>
    </row>
    <row r="32" spans="1:60" s="1773" customFormat="1" ht="18.75" hidden="1" customHeight="1">
      <c r="A32" s="1286"/>
      <c r="B32" s="1286"/>
      <c r="C32" s="1286"/>
      <c r="D32" s="1286"/>
      <c r="E32" s="1286"/>
      <c r="F32" s="1286"/>
      <c r="G32" s="1286"/>
      <c r="H32" s="1286"/>
      <c r="I32" s="1286"/>
      <c r="J32" s="1286"/>
      <c r="K32" s="1286"/>
      <c r="L32" s="1287"/>
      <c r="M32" s="1286"/>
      <c r="N32" s="1286"/>
      <c r="O32" s="1286"/>
      <c r="P32" s="1286"/>
      <c r="Q32" s="1286"/>
      <c r="S32" s="2067" t="s">
        <v>483</v>
      </c>
      <c r="T32" s="2067"/>
      <c r="U32" s="1290"/>
      <c r="V32" s="2068"/>
      <c r="W32" s="2068"/>
      <c r="X32" s="2068"/>
      <c r="Y32" s="2068"/>
      <c r="Z32" s="2068"/>
      <c r="AA32" s="2068"/>
      <c r="AB32" s="2068"/>
      <c r="AC32" s="248"/>
      <c r="AD32" s="2068" t="str">
        <f>IF(TITLE_DATE_CHANGE_PERIOD="",IF(TITLE_DATE_PR="","",TITLE_DATE_PR),TITLE_DATE_CHANGE_PERIOD)</f>
        <v/>
      </c>
      <c r="AE32" s="2068"/>
      <c r="AF32" s="2068"/>
      <c r="AG32" s="2068"/>
      <c r="AH32" s="2068"/>
      <c r="AI32" s="2068"/>
      <c r="AJ32" s="2068"/>
      <c r="AK32" s="2068"/>
      <c r="AL32" s="2068"/>
      <c r="AM32" s="2068"/>
      <c r="AN32" s="2068"/>
      <c r="AO32" s="2068"/>
      <c r="AP32" s="2068"/>
      <c r="AQ32" s="2068"/>
      <c r="AR32" s="2068"/>
      <c r="AS32" s="2068"/>
      <c r="AT32" s="2068"/>
      <c r="AU32" s="2068"/>
      <c r="AV32" s="2068"/>
      <c r="AW32" s="2068"/>
      <c r="AX32" s="2068"/>
      <c r="AY32" s="2068"/>
      <c r="AZ32" s="2068"/>
      <c r="BA32" s="248"/>
      <c r="BB32" s="248"/>
      <c r="BC32" s="196"/>
      <c r="BD32" s="292"/>
      <c r="BE32" s="292"/>
      <c r="BF32" s="292"/>
      <c r="BG32" s="292"/>
      <c r="BH32" s="292"/>
    </row>
    <row r="33" spans="1:60" s="1773" customFormat="1" ht="18.75" hidden="1" customHeight="1">
      <c r="A33" s="1286"/>
      <c r="B33" s="1286"/>
      <c r="C33" s="1286"/>
      <c r="D33" s="1286"/>
      <c r="E33" s="1286"/>
      <c r="F33" s="1286"/>
      <c r="G33" s="1286"/>
      <c r="H33" s="1286"/>
      <c r="I33" s="1286"/>
      <c r="J33" s="1286"/>
      <c r="K33" s="1286"/>
      <c r="L33" s="1287"/>
      <c r="M33" s="1286"/>
      <c r="N33" s="1286"/>
      <c r="O33" s="1286"/>
      <c r="P33" s="1286"/>
      <c r="Q33" s="1286"/>
      <c r="S33" s="2067" t="s">
        <v>484</v>
      </c>
      <c r="T33" s="2067"/>
      <c r="U33" s="1290"/>
      <c r="V33" s="2069"/>
      <c r="W33" s="2069"/>
      <c r="X33" s="2069"/>
      <c r="Y33" s="2069"/>
      <c r="Z33" s="2069"/>
      <c r="AA33" s="2069"/>
      <c r="AB33" s="2069"/>
      <c r="AC33" s="248"/>
      <c r="AD33" s="2069" t="str">
        <f>IF(TITLE_NUMBER_PR_CHANGE="",IF(TITLE_NUMBER_PR="","",TITLE_NUMBER_PR),TITLE_NUMBER_PR_CHANGE)</f>
        <v/>
      </c>
      <c r="AE33" s="2069"/>
      <c r="AF33" s="2069"/>
      <c r="AG33" s="2069"/>
      <c r="AH33" s="2069"/>
      <c r="AI33" s="2069"/>
      <c r="AJ33" s="2069"/>
      <c r="AK33" s="2069"/>
      <c r="AL33" s="2069"/>
      <c r="AM33" s="2069"/>
      <c r="AN33" s="2069"/>
      <c r="AO33" s="2069"/>
      <c r="AP33" s="2069"/>
      <c r="AQ33" s="2069"/>
      <c r="AR33" s="2069"/>
      <c r="AS33" s="2069"/>
      <c r="AT33" s="2069"/>
      <c r="AU33" s="2069"/>
      <c r="AV33" s="2069"/>
      <c r="AW33" s="2069"/>
      <c r="AX33" s="2069"/>
      <c r="AY33" s="2069"/>
      <c r="AZ33" s="2069"/>
      <c r="BA33" s="248"/>
      <c r="BB33" s="248"/>
      <c r="BC33" s="196"/>
      <c r="BD33" s="292"/>
      <c r="BE33" s="292"/>
      <c r="BF33" s="292"/>
      <c r="BG33" s="292"/>
      <c r="BH33" s="292"/>
    </row>
    <row r="34" spans="1:60" s="1773" customFormat="1" ht="18.75" hidden="1" customHeight="1">
      <c r="A34" s="1286"/>
      <c r="B34" s="1286"/>
      <c r="C34" s="1286"/>
      <c r="D34" s="1286"/>
      <c r="E34" s="1286"/>
      <c r="F34" s="1286"/>
      <c r="G34" s="1286"/>
      <c r="H34" s="1286"/>
      <c r="I34" s="1286"/>
      <c r="J34" s="1286"/>
      <c r="K34" s="1286"/>
      <c r="L34" s="1287"/>
      <c r="M34" s="1286"/>
      <c r="N34" s="1286"/>
      <c r="O34" s="1286"/>
      <c r="P34" s="1286"/>
      <c r="Q34" s="1286"/>
      <c r="S34" s="2067" t="s">
        <v>41</v>
      </c>
      <c r="T34" s="2067"/>
      <c r="U34" s="1290"/>
      <c r="V34" s="2069"/>
      <c r="W34" s="2069"/>
      <c r="X34" s="2069"/>
      <c r="Y34" s="2069"/>
      <c r="Z34" s="2069"/>
      <c r="AA34" s="2069"/>
      <c r="AB34" s="2069"/>
      <c r="AC34" s="248"/>
      <c r="AD34" s="2069" t="str">
        <f>IF(TITLE_IST_PUB_CHANGE="",IF(TITLE_IST_PUB="","",TITLE_IST_PUB),TITLE_IST_PUB_CHANGE)</f>
        <v/>
      </c>
      <c r="AE34" s="2069"/>
      <c r="AF34" s="2069"/>
      <c r="AG34" s="2069"/>
      <c r="AH34" s="2069"/>
      <c r="AI34" s="2069"/>
      <c r="AJ34" s="2069"/>
      <c r="AK34" s="2069"/>
      <c r="AL34" s="2069"/>
      <c r="AM34" s="2069"/>
      <c r="AN34" s="2069"/>
      <c r="AO34" s="2069"/>
      <c r="AP34" s="2069"/>
      <c r="AQ34" s="2069"/>
      <c r="AR34" s="2069"/>
      <c r="AS34" s="2069"/>
      <c r="AT34" s="2069"/>
      <c r="AU34" s="2069"/>
      <c r="AV34" s="2069"/>
      <c r="AW34" s="2069"/>
      <c r="AX34" s="2069"/>
      <c r="AY34" s="2069"/>
      <c r="AZ34" s="2069"/>
      <c r="BA34" s="248"/>
      <c r="BB34" s="248"/>
      <c r="BC34" s="196"/>
      <c r="BD34" s="292"/>
      <c r="BE34" s="292"/>
      <c r="BF34" s="292"/>
      <c r="BG34" s="292"/>
      <c r="BH34" s="292"/>
    </row>
    <row r="35" spans="1:60" ht="14.25" hidden="1" customHeight="1">
      <c r="Q35" s="206"/>
      <c r="R35" s="300"/>
      <c r="S35" s="1197"/>
      <c r="T35" s="286"/>
      <c r="U35" s="286"/>
      <c r="V35" s="242"/>
      <c r="W35" s="242"/>
      <c r="X35" s="242"/>
      <c r="Y35" s="242"/>
      <c r="Z35" s="242"/>
      <c r="AA35" s="242"/>
      <c r="AB35" s="242"/>
      <c r="AC35" s="242"/>
      <c r="AD35" s="242"/>
      <c r="AE35" s="242"/>
      <c r="AF35" s="242"/>
      <c r="AG35" s="242"/>
      <c r="AH35" s="242"/>
      <c r="AI35" s="242"/>
      <c r="AJ35" s="242"/>
      <c r="AK35" s="242"/>
      <c r="AL35" s="242"/>
      <c r="AM35" s="242"/>
      <c r="AN35" s="242"/>
      <c r="AO35" s="242"/>
      <c r="AP35" s="242"/>
      <c r="AQ35" s="242"/>
      <c r="AR35" s="242"/>
      <c r="AS35" s="242"/>
      <c r="AT35" s="242"/>
      <c r="AU35" s="242"/>
      <c r="AV35" s="242"/>
      <c r="AW35" s="242"/>
      <c r="AX35" s="242"/>
      <c r="AY35" s="242"/>
      <c r="AZ35" s="242"/>
      <c r="BA35" s="242"/>
      <c r="BB35" s="435"/>
    </row>
    <row r="36" spans="1:60" s="1773" customFormat="1" ht="18.75" hidden="1" customHeight="1">
      <c r="A36" s="1286"/>
      <c r="B36" s="1286"/>
      <c r="C36" s="1286"/>
      <c r="D36" s="1286"/>
      <c r="E36" s="1286"/>
      <c r="F36" s="1286"/>
      <c r="G36" s="1286"/>
      <c r="H36" s="1286"/>
      <c r="I36" s="1286"/>
      <c r="J36" s="1286"/>
      <c r="K36" s="1286"/>
      <c r="L36" s="1287"/>
      <c r="M36" s="1286"/>
      <c r="N36" s="1286"/>
      <c r="O36" s="1286"/>
      <c r="P36" s="1286"/>
      <c r="Q36" s="1286"/>
      <c r="S36" s="2067" t="s">
        <v>483</v>
      </c>
      <c r="T36" s="2067"/>
      <c r="U36" s="1290"/>
      <c r="V36" s="2068"/>
      <c r="W36" s="2068"/>
      <c r="X36" s="2068"/>
      <c r="Y36" s="2068"/>
      <c r="Z36" s="2068"/>
      <c r="AA36" s="2068"/>
      <c r="AB36" s="2068"/>
      <c r="AC36" s="248"/>
      <c r="AD36" s="2068" t="str">
        <f>IF(TITLE_DATE_CHANGE_PERIOD="",IF(TITLE_DATE_PR="","",TITLE_DATE_PR),TITLE_DATE_CHANGE_PERIOD)</f>
        <v/>
      </c>
      <c r="AE36" s="2068"/>
      <c r="AF36" s="2068"/>
      <c r="AG36" s="2068"/>
      <c r="AH36" s="2068"/>
      <c r="AI36" s="2068"/>
      <c r="AJ36" s="2068"/>
      <c r="AK36" s="2068"/>
      <c r="AL36" s="2068"/>
      <c r="AM36" s="2068"/>
      <c r="AN36" s="2068"/>
      <c r="AO36" s="2068"/>
      <c r="AP36" s="2068"/>
      <c r="AQ36" s="2068"/>
      <c r="AR36" s="2068"/>
      <c r="AS36" s="2068"/>
      <c r="AT36" s="2068"/>
      <c r="AU36" s="2068"/>
      <c r="AV36" s="2068"/>
      <c r="AW36" s="2068"/>
      <c r="AX36" s="2068"/>
      <c r="AY36" s="2068"/>
      <c r="AZ36" s="2068"/>
      <c r="BA36" s="248"/>
      <c r="BB36" s="248"/>
      <c r="BC36" s="196"/>
      <c r="BD36" s="292"/>
      <c r="BE36" s="292"/>
      <c r="BF36" s="292"/>
      <c r="BG36" s="292"/>
      <c r="BH36" s="292"/>
    </row>
    <row r="37" spans="1:60" s="1773" customFormat="1" ht="18.75" hidden="1" customHeight="1">
      <c r="A37" s="1286"/>
      <c r="B37" s="1286"/>
      <c r="C37" s="1286"/>
      <c r="D37" s="1286"/>
      <c r="E37" s="1286"/>
      <c r="F37" s="1286"/>
      <c r="G37" s="1286"/>
      <c r="H37" s="1286"/>
      <c r="I37" s="1286"/>
      <c r="J37" s="1286"/>
      <c r="K37" s="1286"/>
      <c r="L37" s="1287"/>
      <c r="M37" s="1286"/>
      <c r="N37" s="1286"/>
      <c r="O37" s="1286"/>
      <c r="P37" s="1286"/>
      <c r="Q37" s="1286"/>
      <c r="S37" s="2067" t="s">
        <v>484</v>
      </c>
      <c r="T37" s="2067"/>
      <c r="U37" s="1290"/>
      <c r="V37" s="2069"/>
      <c r="W37" s="2069"/>
      <c r="X37" s="2069"/>
      <c r="Y37" s="2069"/>
      <c r="Z37" s="2069"/>
      <c r="AA37" s="2069"/>
      <c r="AB37" s="2069"/>
      <c r="AC37" s="248"/>
      <c r="AD37" s="2069" t="str">
        <f>IF(TITLE_NUMBER_PR_CHANGE="",IF(TITLE_NUMBER_PR="","",TITLE_NUMBER_PR),TITLE_NUMBER_PR_CHANGE)</f>
        <v/>
      </c>
      <c r="AE37" s="2069"/>
      <c r="AF37" s="2069"/>
      <c r="AG37" s="2069"/>
      <c r="AH37" s="2069"/>
      <c r="AI37" s="2069"/>
      <c r="AJ37" s="2069"/>
      <c r="AK37" s="2069"/>
      <c r="AL37" s="2069"/>
      <c r="AM37" s="2069"/>
      <c r="AN37" s="2069"/>
      <c r="AO37" s="2069"/>
      <c r="AP37" s="2069"/>
      <c r="AQ37" s="2069"/>
      <c r="AR37" s="2069"/>
      <c r="AS37" s="2069"/>
      <c r="AT37" s="2069"/>
      <c r="AU37" s="2069"/>
      <c r="AV37" s="2069"/>
      <c r="AW37" s="2069"/>
      <c r="AX37" s="2069"/>
      <c r="AY37" s="2069"/>
      <c r="AZ37" s="2069"/>
      <c r="BA37" s="248"/>
      <c r="BB37" s="248"/>
      <c r="BC37" s="196"/>
      <c r="BD37" s="292"/>
      <c r="BE37" s="292"/>
      <c r="BF37" s="292"/>
      <c r="BG37" s="292"/>
      <c r="BH37" s="292"/>
    </row>
    <row r="38" spans="1:60" s="1773" customFormat="1" ht="0" hidden="1" customHeight="1">
      <c r="A38" s="1286"/>
      <c r="B38" s="1286"/>
      <c r="C38" s="1286"/>
      <c r="D38" s="1286"/>
      <c r="E38" s="1286"/>
      <c r="F38" s="1286"/>
      <c r="G38" s="1286"/>
      <c r="H38" s="1286"/>
      <c r="I38" s="1286"/>
      <c r="J38" s="1286"/>
      <c r="K38" s="1286"/>
      <c r="L38" s="1287"/>
      <c r="M38" s="1286"/>
      <c r="N38" s="1286"/>
      <c r="O38" s="1286"/>
      <c r="P38" s="1286"/>
      <c r="Q38" s="1286"/>
      <c r="S38" s="244"/>
      <c r="T38" s="244"/>
      <c r="U38" s="1369"/>
      <c r="V38" s="248"/>
      <c r="W38" s="248"/>
      <c r="X38" s="248"/>
      <c r="Y38" s="248"/>
      <c r="Z38" s="248"/>
      <c r="AA38" s="248"/>
      <c r="AB38" s="248"/>
      <c r="AC38" s="194" t="s">
        <v>487</v>
      </c>
      <c r="AD38" s="248"/>
      <c r="AE38" s="248"/>
      <c r="AF38" s="248"/>
      <c r="AG38" s="248"/>
      <c r="AH38" s="248"/>
      <c r="AI38" s="248"/>
      <c r="AJ38" s="248"/>
      <c r="AK38" s="248"/>
      <c r="AL38" s="248"/>
      <c r="AM38" s="248"/>
      <c r="AN38" s="248"/>
      <c r="AO38" s="248"/>
      <c r="AP38" s="248"/>
      <c r="AQ38" s="248"/>
      <c r="AR38" s="248"/>
      <c r="AS38" s="248"/>
      <c r="AT38" s="248"/>
      <c r="AU38" s="248"/>
      <c r="AV38" s="248"/>
      <c r="AW38" s="248"/>
      <c r="AX38" s="248"/>
      <c r="AY38" s="248"/>
      <c r="AZ38" s="248"/>
      <c r="BA38" s="194" t="s">
        <v>487</v>
      </c>
      <c r="BD38" s="292"/>
      <c r="BE38" s="292"/>
      <c r="BF38" s="292"/>
      <c r="BG38" s="292"/>
      <c r="BH38" s="292"/>
    </row>
    <row r="39" spans="1:60" ht="14.25" customHeight="1">
      <c r="Q39" s="206"/>
      <c r="R39" s="300"/>
      <c r="S39" s="1197"/>
      <c r="T39" s="286"/>
      <c r="U39" s="1155"/>
      <c r="V39" s="2087"/>
      <c r="W39" s="2087"/>
      <c r="X39" s="2087"/>
      <c r="Y39" s="2087"/>
      <c r="Z39" s="2087"/>
      <c r="AA39" s="2087"/>
      <c r="AB39" s="2087"/>
      <c r="AC39" s="2087"/>
      <c r="AD39" s="2087"/>
      <c r="AE39" s="2087"/>
      <c r="AF39" s="2087"/>
      <c r="AG39" s="2087"/>
      <c r="AH39" s="2087"/>
      <c r="AI39" s="2087"/>
      <c r="AJ39" s="2087"/>
      <c r="AK39" s="2087"/>
      <c r="AL39" s="2087"/>
      <c r="AM39" s="2087"/>
      <c r="AN39" s="2087"/>
      <c r="AO39" s="2087"/>
      <c r="AP39" s="2087"/>
      <c r="AQ39" s="2087"/>
      <c r="AR39" s="2087"/>
      <c r="AS39" s="2087"/>
      <c r="AT39" s="2087"/>
      <c r="AU39" s="2087"/>
      <c r="AV39" s="2087"/>
      <c r="AW39" s="2087"/>
      <c r="AX39" s="2087"/>
      <c r="AY39" s="2087"/>
      <c r="AZ39" s="2087"/>
      <c r="BA39" s="2087"/>
    </row>
    <row r="40" spans="1:60" ht="14.25" customHeight="1">
      <c r="Q40" s="206"/>
      <c r="R40" s="300"/>
      <c r="S40" s="1874" t="s">
        <v>291</v>
      </c>
      <c r="T40" s="1874"/>
      <c r="U40" s="1874"/>
      <c r="V40" s="1874"/>
      <c r="W40" s="1874"/>
      <c r="X40" s="1874"/>
      <c r="Y40" s="1874"/>
      <c r="Z40" s="1874"/>
      <c r="AA40" s="1874"/>
      <c r="AB40" s="1874"/>
      <c r="AC40" s="1874"/>
      <c r="AD40" s="1874"/>
      <c r="AE40" s="1874"/>
      <c r="AF40" s="1874"/>
      <c r="AG40" s="1874"/>
      <c r="AH40" s="1874"/>
      <c r="AI40" s="1874"/>
      <c r="AJ40" s="1874"/>
      <c r="AK40" s="1874"/>
      <c r="AL40" s="1874"/>
      <c r="AM40" s="1874"/>
      <c r="AN40" s="1874"/>
      <c r="AO40" s="1874"/>
      <c r="AP40" s="1874"/>
      <c r="AQ40" s="1874"/>
      <c r="AR40" s="1874"/>
      <c r="AS40" s="1874"/>
      <c r="AT40" s="1874"/>
      <c r="AU40" s="1874"/>
      <c r="AV40" s="1874"/>
      <c r="AW40" s="1874"/>
      <c r="AX40" s="1874"/>
      <c r="AY40" s="1874"/>
      <c r="AZ40" s="1874"/>
      <c r="BA40" s="1874"/>
      <c r="BB40" s="1874"/>
      <c r="BC40" s="1874" t="s">
        <v>292</v>
      </c>
    </row>
    <row r="41" spans="1:60" ht="14.25" customHeight="1">
      <c r="Q41" s="206"/>
      <c r="R41" s="300"/>
      <c r="S41" s="2088" t="s">
        <v>88</v>
      </c>
      <c r="T41" s="1959" t="s">
        <v>1702</v>
      </c>
      <c r="U41" s="215"/>
      <c r="V41" s="2089" t="s">
        <v>489</v>
      </c>
      <c r="W41" s="2090"/>
      <c r="X41" s="2090"/>
      <c r="Y41" s="2090"/>
      <c r="Z41" s="2090"/>
      <c r="AA41" s="2090"/>
      <c r="AB41" s="2091"/>
      <c r="AC41" s="2092" t="s">
        <v>490</v>
      </c>
      <c r="AD41" s="2115" t="s">
        <v>1703</v>
      </c>
      <c r="AE41" s="2104"/>
      <c r="AF41" s="2104"/>
      <c r="AG41" s="2116"/>
      <c r="AH41" s="2115" t="s">
        <v>1704</v>
      </c>
      <c r="AI41" s="2104"/>
      <c r="AJ41" s="2104"/>
      <c r="AK41" s="2116"/>
      <c r="AL41" s="2115" t="s">
        <v>1705</v>
      </c>
      <c r="AM41" s="2104"/>
      <c r="AN41" s="2104"/>
      <c r="AO41" s="2116"/>
      <c r="AP41" s="2115" t="s">
        <v>1706</v>
      </c>
      <c r="AQ41" s="2104"/>
      <c r="AR41" s="2104"/>
      <c r="AS41" s="2116"/>
      <c r="AT41" s="2089" t="s">
        <v>489</v>
      </c>
      <c r="AU41" s="2090"/>
      <c r="AV41" s="2090"/>
      <c r="AW41" s="2090"/>
      <c r="AX41" s="2090"/>
      <c r="AY41" s="2090"/>
      <c r="AZ41" s="2091"/>
      <c r="BA41" s="2092" t="s">
        <v>490</v>
      </c>
      <c r="BB41" s="2095" t="s">
        <v>492</v>
      </c>
      <c r="BC41" s="1874"/>
    </row>
    <row r="42" spans="1:60" ht="33.75" customHeight="1">
      <c r="Q42" s="206"/>
      <c r="R42" s="300"/>
      <c r="S42" s="2088"/>
      <c r="T42" s="1959"/>
      <c r="U42" s="939"/>
      <c r="V42" s="1929" t="s">
        <v>1707</v>
      </c>
      <c r="W42" s="1930"/>
      <c r="X42" s="1929" t="s">
        <v>1708</v>
      </c>
      <c r="Y42" s="1930"/>
      <c r="Z42" s="1929" t="s">
        <v>1709</v>
      </c>
      <c r="AA42" s="2109"/>
      <c r="AB42" s="1930"/>
      <c r="AC42" s="2093"/>
      <c r="AD42" s="2117"/>
      <c r="AE42" s="2118"/>
      <c r="AF42" s="2118"/>
      <c r="AG42" s="2130"/>
      <c r="AH42" s="2117"/>
      <c r="AI42" s="2118"/>
      <c r="AJ42" s="2118"/>
      <c r="AK42" s="2130"/>
      <c r="AL42" s="2117"/>
      <c r="AM42" s="2118"/>
      <c r="AN42" s="2118"/>
      <c r="AO42" s="2130"/>
      <c r="AP42" s="2117"/>
      <c r="AQ42" s="2118"/>
      <c r="AR42" s="2118"/>
      <c r="AS42" s="2130"/>
      <c r="AT42" s="1929" t="s">
        <v>1707</v>
      </c>
      <c r="AU42" s="1930"/>
      <c r="AV42" s="1929" t="s">
        <v>1708</v>
      </c>
      <c r="AW42" s="1930"/>
      <c r="AX42" s="1929" t="s">
        <v>1709</v>
      </c>
      <c r="AY42" s="2109"/>
      <c r="AZ42" s="1930"/>
      <c r="BA42" s="2093"/>
      <c r="BB42" s="2096"/>
      <c r="BC42" s="1874"/>
    </row>
    <row r="43" spans="1:60" ht="14.25" customHeight="1">
      <c r="Q43" s="206"/>
      <c r="R43" s="300"/>
      <c r="S43" s="2088"/>
      <c r="T43" s="1959"/>
      <c r="U43" s="939"/>
      <c r="V43" s="1934"/>
      <c r="W43" s="1935"/>
      <c r="X43" s="1934"/>
      <c r="Y43" s="1935"/>
      <c r="Z43" s="1934"/>
      <c r="AA43" s="2110"/>
      <c r="AB43" s="1935"/>
      <c r="AC43" s="2093"/>
      <c r="AD43" s="2117"/>
      <c r="AE43" s="2118"/>
      <c r="AF43" s="2118"/>
      <c r="AG43" s="2130"/>
      <c r="AH43" s="2117"/>
      <c r="AI43" s="2118"/>
      <c r="AJ43" s="2118"/>
      <c r="AK43" s="2130"/>
      <c r="AL43" s="2117"/>
      <c r="AM43" s="2118"/>
      <c r="AN43" s="2118"/>
      <c r="AO43" s="2130"/>
      <c r="AP43" s="2117"/>
      <c r="AQ43" s="2118"/>
      <c r="AR43" s="2118"/>
      <c r="AS43" s="2130"/>
      <c r="AT43" s="1934"/>
      <c r="AU43" s="1935"/>
      <c r="AV43" s="1934"/>
      <c r="AW43" s="1935"/>
      <c r="AX43" s="1934"/>
      <c r="AY43" s="2110"/>
      <c r="AZ43" s="1935"/>
      <c r="BA43" s="2093"/>
      <c r="BB43" s="2096"/>
      <c r="BC43" s="1874"/>
    </row>
    <row r="44" spans="1:60" ht="14.25" customHeight="1">
      <c r="A44" s="1288"/>
      <c r="B44" s="1288" t="s">
        <v>140</v>
      </c>
      <c r="C44" s="1288" t="s">
        <v>141</v>
      </c>
      <c r="D44" s="1288" t="s">
        <v>142</v>
      </c>
      <c r="E44" s="1282" t="s">
        <v>497</v>
      </c>
      <c r="F44" s="1282" t="s">
        <v>498</v>
      </c>
      <c r="G44" s="1282" t="s">
        <v>499</v>
      </c>
      <c r="H44" s="1282" t="s">
        <v>500</v>
      </c>
      <c r="I44" s="1282" t="s">
        <v>501</v>
      </c>
      <c r="J44" s="1282" t="s">
        <v>502</v>
      </c>
      <c r="K44" s="1282" t="s">
        <v>503</v>
      </c>
      <c r="L44" s="1282" t="s">
        <v>478</v>
      </c>
      <c r="Q44" s="206"/>
      <c r="R44" s="300"/>
      <c r="S44" s="2088"/>
      <c r="T44" s="1959"/>
      <c r="U44" s="216"/>
      <c r="V44" s="1363" t="s">
        <v>551</v>
      </c>
      <c r="W44" s="1363" t="s">
        <v>552</v>
      </c>
      <c r="X44" s="1363" t="s">
        <v>551</v>
      </c>
      <c r="Y44" s="1363" t="s">
        <v>552</v>
      </c>
      <c r="Z44" s="1370" t="s">
        <v>506</v>
      </c>
      <c r="AA44" s="1965" t="s">
        <v>507</v>
      </c>
      <c r="AB44" s="1979"/>
      <c r="AC44" s="2094"/>
      <c r="AD44" s="2119"/>
      <c r="AE44" s="2120"/>
      <c r="AF44" s="2120"/>
      <c r="AG44" s="2121"/>
      <c r="AH44" s="2119"/>
      <c r="AI44" s="2120"/>
      <c r="AJ44" s="2120"/>
      <c r="AK44" s="2121"/>
      <c r="AL44" s="2119"/>
      <c r="AM44" s="2120"/>
      <c r="AN44" s="2120"/>
      <c r="AO44" s="2121"/>
      <c r="AP44" s="2119"/>
      <c r="AQ44" s="2120"/>
      <c r="AR44" s="2120"/>
      <c r="AS44" s="2121"/>
      <c r="AT44" s="1363" t="s">
        <v>551</v>
      </c>
      <c r="AU44" s="1363" t="s">
        <v>552</v>
      </c>
      <c r="AV44" s="1363" t="s">
        <v>551</v>
      </c>
      <c r="AW44" s="1363" t="s">
        <v>552</v>
      </c>
      <c r="AX44" s="1370" t="s">
        <v>506</v>
      </c>
      <c r="AY44" s="1965" t="s">
        <v>507</v>
      </c>
      <c r="AZ44" s="1979"/>
      <c r="BA44" s="2094"/>
      <c r="BB44" s="2097"/>
      <c r="BC44" s="1874"/>
    </row>
    <row r="45" spans="1:60" s="1558" customFormat="1" ht="11.25" hidden="1" customHeight="1">
      <c r="A45" s="1288"/>
      <c r="B45" s="1288"/>
      <c r="C45" s="1288"/>
      <c r="D45" s="1288"/>
      <c r="E45" s="1288"/>
      <c r="F45" s="1288"/>
      <c r="G45" s="1288"/>
      <c r="H45" s="1288"/>
      <c r="I45" s="1288"/>
      <c r="J45" s="1288"/>
      <c r="K45" s="1288"/>
      <c r="L45" s="1282"/>
      <c r="M45" s="1280"/>
      <c r="N45" s="1280"/>
      <c r="O45" s="1280"/>
      <c r="P45" s="436"/>
      <c r="Q45" s="1173"/>
      <c r="R45" s="1173">
        <v>1</v>
      </c>
      <c r="S45" s="1199" t="s">
        <v>109</v>
      </c>
      <c r="T45" s="1174" t="s">
        <v>110</v>
      </c>
      <c r="U45" s="1156" t="str">
        <f ca="1">OFFSET(U45,0,-1)</f>
        <v>2</v>
      </c>
      <c r="V45" s="1366">
        <f t="shared" ref="V45:AA45" ca="1" si="2">OFFSET(V45,0,-1)+1</f>
        <v>3</v>
      </c>
      <c r="W45" s="1366">
        <f t="shared" ca="1" si="2"/>
        <v>4</v>
      </c>
      <c r="X45" s="1366">
        <f t="shared" ca="1" si="2"/>
        <v>5</v>
      </c>
      <c r="Y45" s="1366">
        <f t="shared" ca="1" si="2"/>
        <v>6</v>
      </c>
      <c r="Z45" s="1366">
        <f t="shared" ca="1" si="2"/>
        <v>7</v>
      </c>
      <c r="AA45" s="2086">
        <f t="shared" ca="1" si="2"/>
        <v>8</v>
      </c>
      <c r="AB45" s="2086"/>
      <c r="AC45" s="1366">
        <f ca="1">OFFSET(AC45,0,-2)+1</f>
        <v>9</v>
      </c>
      <c r="AD45" s="1366">
        <f ca="1">OFFSET(AD45,0,-1)+1</f>
        <v>10</v>
      </c>
      <c r="AE45" s="1366"/>
      <c r="AF45" s="1366"/>
      <c r="AG45" s="1366"/>
      <c r="AH45" s="1366"/>
      <c r="AI45" s="1366"/>
      <c r="AJ45" s="1366"/>
      <c r="AK45" s="1366"/>
      <c r="AL45" s="1366"/>
      <c r="AM45" s="1366"/>
      <c r="AN45" s="1366"/>
      <c r="AO45" s="1366"/>
      <c r="AP45" s="1366"/>
      <c r="AQ45" s="1366"/>
      <c r="AR45" s="1366"/>
      <c r="AS45" s="1366"/>
      <c r="AT45" s="1366"/>
      <c r="AU45" s="1366"/>
      <c r="AV45" s="1366"/>
      <c r="AW45" s="1366">
        <f ca="1">OFFSET(AW45,0,-1)+1</f>
        <v>1</v>
      </c>
      <c r="AX45" s="1366">
        <f ca="1">OFFSET(AX45,0,-1)+1</f>
        <v>2</v>
      </c>
      <c r="AY45" s="2086">
        <f ca="1">OFFSET(AY45,0,-1)+1</f>
        <v>3</v>
      </c>
      <c r="AZ45" s="2086"/>
      <c r="BA45" s="1366">
        <f ca="1">OFFSET(BA45,0,-2)+1</f>
        <v>4</v>
      </c>
      <c r="BB45" s="1156">
        <f ca="1">OFFSET(BB45,0,-1)</f>
        <v>4</v>
      </c>
      <c r="BC45" s="1366">
        <f ca="1">OFFSET(BC45,0,-1)+1</f>
        <v>5</v>
      </c>
      <c r="BD45" s="437"/>
      <c r="BE45" s="437"/>
      <c r="BF45" s="437"/>
      <c r="BG45" s="437"/>
      <c r="BH45" s="437"/>
    </row>
    <row r="46" spans="1:60" ht="21" customHeight="1">
      <c r="A46" s="1281" t="s">
        <v>237</v>
      </c>
      <c r="B46" s="1281"/>
      <c r="C46" s="1281"/>
      <c r="D46" s="1281"/>
      <c r="E46" s="2076">
        <v>1</v>
      </c>
      <c r="F46" s="1281"/>
      <c r="G46" s="1281"/>
      <c r="H46" s="1281"/>
      <c r="I46" s="1281"/>
      <c r="J46" s="1281"/>
      <c r="K46" s="1281"/>
      <c r="L46" s="1282"/>
      <c r="M46" s="1283"/>
      <c r="N46" s="1283"/>
      <c r="O46" s="1283"/>
      <c r="P46" s="1327"/>
      <c r="Q46" s="786"/>
      <c r="R46" s="276"/>
      <c r="S46" s="1372">
        <f>INDEX(PT_DIFFERENTIATION_NUM_NTAR,MATCH(A46,PT_DIFFERENTIATION_NTAR_ID,0))</f>
        <v>0</v>
      </c>
      <c r="T46" s="212" t="s">
        <v>128</v>
      </c>
      <c r="U46" s="214"/>
      <c r="V46" s="2071"/>
      <c r="W46" s="2071"/>
      <c r="X46" s="2071"/>
      <c r="Y46" s="2071"/>
      <c r="Z46" s="2071"/>
      <c r="AA46" s="2071"/>
      <c r="AB46" s="2071"/>
      <c r="AC46" s="2072"/>
      <c r="AD46" s="2070" t="str">
        <f>INDEX(PT_DIFFERENTIATION_NTAR,MATCH(A46,PT_DIFFERENTIATION_NTAR_ID,0))</f>
        <v/>
      </c>
      <c r="AE46" s="2071"/>
      <c r="AF46" s="2071"/>
      <c r="AG46" s="2071"/>
      <c r="AH46" s="2071"/>
      <c r="AI46" s="2071"/>
      <c r="AJ46" s="2071"/>
      <c r="AK46" s="2071"/>
      <c r="AL46" s="2071"/>
      <c r="AM46" s="2071"/>
      <c r="AN46" s="2071"/>
      <c r="AO46" s="2071"/>
      <c r="AP46" s="2071"/>
      <c r="AQ46" s="2071"/>
      <c r="AR46" s="2071"/>
      <c r="AS46" s="2071"/>
      <c r="AT46" s="2071"/>
      <c r="AU46" s="2071"/>
      <c r="AV46" s="2071"/>
      <c r="AW46" s="2071"/>
      <c r="AX46" s="2071"/>
      <c r="AY46" s="2071"/>
      <c r="AZ46" s="2071"/>
      <c r="BA46" s="2071"/>
      <c r="BB46" s="2072"/>
      <c r="BC46" s="117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426"/>
      <c r="BF46" s="426" t="str">
        <f t="shared" ref="BF46:BF52" si="3">IF(T46="","",T46)</f>
        <v>Наименование тарифа</v>
      </c>
      <c r="BG46" s="426"/>
      <c r="BH46" s="426"/>
    </row>
    <row r="47" spans="1:60" ht="21" customHeight="1">
      <c r="A47" s="1281" t="s">
        <v>237</v>
      </c>
      <c r="B47" s="1281" t="s">
        <v>238</v>
      </c>
      <c r="C47" s="1281"/>
      <c r="D47" s="1281"/>
      <c r="E47" s="2077"/>
      <c r="F47" s="2076">
        <v>1</v>
      </c>
      <c r="G47" s="1281"/>
      <c r="H47" s="1281"/>
      <c r="I47" s="1281"/>
      <c r="J47" s="1281"/>
      <c r="K47" s="1281"/>
      <c r="L47" s="1282"/>
      <c r="M47" s="1283"/>
      <c r="N47" s="1283"/>
      <c r="O47" s="1283"/>
      <c r="P47" s="1328"/>
      <c r="Q47" s="1329"/>
      <c r="R47" s="274"/>
      <c r="S47" s="1372" t="str">
        <f>INDEX(PT_DIFFERENTIATION_NUM_TER,MATCH(B47,PT_DIFFERENTIATION_TER_ID,0))</f>
        <v>.</v>
      </c>
      <c r="T47" s="224" t="s">
        <v>460</v>
      </c>
      <c r="U47" s="214"/>
      <c r="V47" s="2071"/>
      <c r="W47" s="2071"/>
      <c r="X47" s="2071"/>
      <c r="Y47" s="2071"/>
      <c r="Z47" s="2071"/>
      <c r="AA47" s="2071"/>
      <c r="AB47" s="2071"/>
      <c r="AC47" s="2072"/>
      <c r="AD47" s="2070" t="str">
        <f>INDEX(PT_DIFFERENTIATION_TER,MATCH(B47,PT_DIFFERENTIATION_TER_ID,0))</f>
        <v/>
      </c>
      <c r="AE47" s="2071"/>
      <c r="AF47" s="2071"/>
      <c r="AG47" s="2071"/>
      <c r="AH47" s="2071"/>
      <c r="AI47" s="2071"/>
      <c r="AJ47" s="2071"/>
      <c r="AK47" s="2071"/>
      <c r="AL47" s="2071"/>
      <c r="AM47" s="2071"/>
      <c r="AN47" s="2071"/>
      <c r="AO47" s="2071"/>
      <c r="AP47" s="2071"/>
      <c r="AQ47" s="2071"/>
      <c r="AR47" s="2071"/>
      <c r="AS47" s="2071"/>
      <c r="AT47" s="2071"/>
      <c r="AU47" s="2071"/>
      <c r="AV47" s="2071"/>
      <c r="AW47" s="2071"/>
      <c r="AX47" s="2071"/>
      <c r="AY47" s="2071"/>
      <c r="AZ47" s="2071"/>
      <c r="BA47" s="2071"/>
      <c r="BB47" s="2072"/>
      <c r="BC47" s="1179" t="s">
        <v>461</v>
      </c>
      <c r="BE47" s="426"/>
      <c r="BF47" s="426" t="str">
        <f t="shared" si="3"/>
        <v>Территория действия тарифа</v>
      </c>
      <c r="BG47" s="426"/>
      <c r="BH47" s="426"/>
    </row>
    <row r="48" spans="1:60" ht="42" customHeight="1">
      <c r="A48" s="1281" t="s">
        <v>237</v>
      </c>
      <c r="B48" s="1281" t="s">
        <v>238</v>
      </c>
      <c r="C48" s="1281" t="s">
        <v>239</v>
      </c>
      <c r="D48" s="1281"/>
      <c r="E48" s="2077"/>
      <c r="F48" s="2077"/>
      <c r="G48" s="2076">
        <v>1</v>
      </c>
      <c r="H48" s="1281"/>
      <c r="I48" s="1281"/>
      <c r="J48" s="1281"/>
      <c r="K48" s="1281"/>
      <c r="L48" s="1282"/>
      <c r="M48" s="1283"/>
      <c r="N48" s="1283"/>
      <c r="O48" s="1283"/>
      <c r="P48" s="1330"/>
      <c r="Q48" s="1329"/>
      <c r="R48" s="274"/>
      <c r="S48" s="1372" t="str">
        <f>INDEX(PT_DIFFERENTIATION_NUM_CS,MATCH(C48,PT_DIFFERENTIATION_CS_ID,0))</f>
        <v>..</v>
      </c>
      <c r="T48" s="225" t="s">
        <v>1676</v>
      </c>
      <c r="U48" s="214"/>
      <c r="V48" s="2071"/>
      <c r="W48" s="2071"/>
      <c r="X48" s="2071"/>
      <c r="Y48" s="2071"/>
      <c r="Z48" s="2071"/>
      <c r="AA48" s="2071"/>
      <c r="AB48" s="2071"/>
      <c r="AC48" s="2072"/>
      <c r="AD48" s="2070" t="str">
        <f>INDEX(PT_DIFFERENTIATION_CS,MATCH(C48,PT_DIFFERENTIATION_CS_ID,0))</f>
        <v/>
      </c>
      <c r="AE48" s="2071"/>
      <c r="AF48" s="2071"/>
      <c r="AG48" s="2071"/>
      <c r="AH48" s="2071"/>
      <c r="AI48" s="2071"/>
      <c r="AJ48" s="2071"/>
      <c r="AK48" s="2071"/>
      <c r="AL48" s="2071"/>
      <c r="AM48" s="2071"/>
      <c r="AN48" s="2071"/>
      <c r="AO48" s="2071"/>
      <c r="AP48" s="2071"/>
      <c r="AQ48" s="2071"/>
      <c r="AR48" s="2071"/>
      <c r="AS48" s="2071"/>
      <c r="AT48" s="2071"/>
      <c r="AU48" s="2071"/>
      <c r="AV48" s="2071"/>
      <c r="AW48" s="2071"/>
      <c r="AX48" s="2071"/>
      <c r="AY48" s="2071"/>
      <c r="AZ48" s="2071"/>
      <c r="BA48" s="2071"/>
      <c r="BB48" s="2072"/>
      <c r="BC48" s="1179" t="s">
        <v>1677</v>
      </c>
      <c r="BE48" s="426"/>
      <c r="BF48" s="426" t="str">
        <f t="shared" si="3"/>
        <v>Наименование централизованной системы холодного водоснабжения</v>
      </c>
      <c r="BG48" s="426"/>
      <c r="BH48" s="426"/>
    </row>
    <row r="49" spans="1:60" s="1559" customFormat="1" ht="0" hidden="1" customHeight="1">
      <c r="A49" s="1262" t="s">
        <v>237</v>
      </c>
      <c r="B49" s="1262" t="s">
        <v>238</v>
      </c>
      <c r="C49" s="1262" t="s">
        <v>239</v>
      </c>
      <c r="D49" s="1262" t="s">
        <v>1710</v>
      </c>
      <c r="E49" s="2077"/>
      <c r="F49" s="2077"/>
      <c r="G49" s="2077"/>
      <c r="H49" s="2076">
        <v>1</v>
      </c>
      <c r="I49" s="1262"/>
      <c r="J49" s="1262"/>
      <c r="K49" s="1262"/>
      <c r="L49" s="1265"/>
      <c r="M49" s="1235"/>
      <c r="N49" s="1235"/>
      <c r="O49" s="1235"/>
      <c r="P49" s="1409"/>
      <c r="Q49" s="1410"/>
      <c r="R49" s="278"/>
      <c r="S49" s="950"/>
      <c r="T49" s="1411"/>
      <c r="U49" s="1302"/>
      <c r="V49" s="2106"/>
      <c r="W49" s="2106"/>
      <c r="X49" s="2106"/>
      <c r="Y49" s="2106"/>
      <c r="Z49" s="2106"/>
      <c r="AA49" s="2106"/>
      <c r="AB49" s="2106"/>
      <c r="AC49" s="2107"/>
      <c r="AD49" s="2105"/>
      <c r="AE49" s="2106"/>
      <c r="AF49" s="2106"/>
      <c r="AG49" s="2106"/>
      <c r="AH49" s="2106"/>
      <c r="AI49" s="2106"/>
      <c r="AJ49" s="2106"/>
      <c r="AK49" s="2106"/>
      <c r="AL49" s="2106"/>
      <c r="AM49" s="2106"/>
      <c r="AN49" s="2106"/>
      <c r="AO49" s="2106"/>
      <c r="AP49" s="2106"/>
      <c r="AQ49" s="2106"/>
      <c r="AR49" s="2106"/>
      <c r="AS49" s="2106"/>
      <c r="AT49" s="2106"/>
      <c r="AU49" s="2106"/>
      <c r="AV49" s="2106"/>
      <c r="AW49" s="2106"/>
      <c r="AX49" s="2106"/>
      <c r="AY49" s="2106"/>
      <c r="AZ49" s="2106"/>
      <c r="BA49" s="2106"/>
      <c r="BB49" s="2107"/>
      <c r="BC49" s="1303" t="s">
        <v>465</v>
      </c>
      <c r="BE49" s="426"/>
      <c r="BF49" s="426" t="str">
        <f t="shared" si="3"/>
        <v/>
      </c>
      <c r="BG49" s="426"/>
      <c r="BH49" s="426"/>
    </row>
    <row r="50" spans="1:60" s="1559" customFormat="1" ht="0" hidden="1" customHeight="1">
      <c r="A50" s="1262" t="s">
        <v>237</v>
      </c>
      <c r="B50" s="1262" t="s">
        <v>238</v>
      </c>
      <c r="C50" s="1262" t="s">
        <v>239</v>
      </c>
      <c r="D50" s="1262" t="s">
        <v>1710</v>
      </c>
      <c r="E50" s="2077"/>
      <c r="F50" s="2077"/>
      <c r="G50" s="2077"/>
      <c r="H50" s="2077"/>
      <c r="I50" s="2078" t="str">
        <f>S49&amp;".1"</f>
        <v>.1</v>
      </c>
      <c r="J50" s="1262"/>
      <c r="K50" s="1262"/>
      <c r="L50" s="1265" t="s">
        <v>466</v>
      </c>
      <c r="M50" s="436"/>
      <c r="N50" s="436"/>
      <c r="O50" s="436"/>
      <c r="P50" s="1995">
        <v>1</v>
      </c>
      <c r="Q50" s="1376"/>
      <c r="R50" s="277"/>
      <c r="S50" s="950"/>
      <c r="T50" s="1301"/>
      <c r="U50" s="1302"/>
      <c r="V50" s="2106"/>
      <c r="W50" s="2106"/>
      <c r="X50" s="2106"/>
      <c r="Y50" s="2106"/>
      <c r="Z50" s="2106"/>
      <c r="AA50" s="2106"/>
      <c r="AB50" s="2106"/>
      <c r="AC50" s="2107"/>
      <c r="AD50" s="2105"/>
      <c r="AE50" s="2106"/>
      <c r="AF50" s="2106"/>
      <c r="AG50" s="2106"/>
      <c r="AH50" s="2106"/>
      <c r="AI50" s="2106"/>
      <c r="AJ50" s="2106"/>
      <c r="AK50" s="2106"/>
      <c r="AL50" s="2106"/>
      <c r="AM50" s="2106"/>
      <c r="AN50" s="2106"/>
      <c r="AO50" s="2106"/>
      <c r="AP50" s="2106"/>
      <c r="AQ50" s="2106"/>
      <c r="AR50" s="2106"/>
      <c r="AS50" s="2106"/>
      <c r="AT50" s="2106"/>
      <c r="AU50" s="2106"/>
      <c r="AV50" s="2106"/>
      <c r="AW50" s="2106"/>
      <c r="AX50" s="2106"/>
      <c r="AY50" s="2106"/>
      <c r="AZ50" s="2106"/>
      <c r="BA50" s="2106"/>
      <c r="BB50" s="2107"/>
      <c r="BC50" s="1303"/>
      <c r="BE50" s="426"/>
      <c r="BF50" s="426" t="str">
        <f t="shared" si="3"/>
        <v/>
      </c>
      <c r="BG50" s="426"/>
      <c r="BH50" s="426"/>
    </row>
    <row r="51" spans="1:60" s="1559" customFormat="1" ht="0" hidden="1" customHeight="1">
      <c r="A51" s="1262" t="s">
        <v>237</v>
      </c>
      <c r="B51" s="1262" t="s">
        <v>238</v>
      </c>
      <c r="C51" s="1262" t="s">
        <v>239</v>
      </c>
      <c r="D51" s="1262" t="s">
        <v>1710</v>
      </c>
      <c r="E51" s="2077"/>
      <c r="F51" s="2077"/>
      <c r="G51" s="2077"/>
      <c r="H51" s="2077"/>
      <c r="I51" s="2079"/>
      <c r="J51" s="2078" t="str">
        <f>S49&amp;".1"</f>
        <v>.1</v>
      </c>
      <c r="K51" s="1262"/>
      <c r="L51" s="1265"/>
      <c r="M51" s="436"/>
      <c r="N51" s="436"/>
      <c r="O51" s="436"/>
      <c r="P51" s="1995"/>
      <c r="Q51" s="1995">
        <v>1</v>
      </c>
      <c r="R51" s="278"/>
      <c r="S51" s="950"/>
      <c r="T51" s="1317"/>
      <c r="U51" s="1302"/>
      <c r="V51" s="2106"/>
      <c r="W51" s="2106"/>
      <c r="X51" s="2106"/>
      <c r="Y51" s="2106"/>
      <c r="Z51" s="2106"/>
      <c r="AA51" s="2106"/>
      <c r="AB51" s="2106"/>
      <c r="AC51" s="2107"/>
      <c r="AD51" s="2105"/>
      <c r="AE51" s="2106"/>
      <c r="AF51" s="2106"/>
      <c r="AG51" s="2106"/>
      <c r="AH51" s="2106"/>
      <c r="AI51" s="2106"/>
      <c r="AJ51" s="2106"/>
      <c r="AK51" s="2106"/>
      <c r="AL51" s="2106"/>
      <c r="AM51" s="2106"/>
      <c r="AN51" s="2191"/>
      <c r="AO51" s="2191"/>
      <c r="AP51" s="2106"/>
      <c r="AQ51" s="2106"/>
      <c r="AR51" s="2106"/>
      <c r="AS51" s="2106"/>
      <c r="AT51" s="2106"/>
      <c r="AU51" s="2106"/>
      <c r="AV51" s="2106"/>
      <c r="AW51" s="2106"/>
      <c r="AX51" s="2106"/>
      <c r="AY51" s="2106"/>
      <c r="AZ51" s="2106"/>
      <c r="BA51" s="2106"/>
      <c r="BB51" s="2107"/>
      <c r="BC51" s="1303"/>
      <c r="BE51" s="426"/>
      <c r="BF51" s="426" t="str">
        <f t="shared" si="3"/>
        <v/>
      </c>
      <c r="BG51" s="426"/>
      <c r="BH51" s="426"/>
    </row>
    <row r="52" spans="1:60" ht="11.25" customHeight="1">
      <c r="A52" s="1281" t="s">
        <v>237</v>
      </c>
      <c r="B52" s="1281" t="s">
        <v>238</v>
      </c>
      <c r="C52" s="1281" t="s">
        <v>239</v>
      </c>
      <c r="D52" s="1281" t="s">
        <v>1710</v>
      </c>
      <c r="E52" s="2077"/>
      <c r="F52" s="2077"/>
      <c r="G52" s="2077"/>
      <c r="H52" s="2077"/>
      <c r="I52" s="2079"/>
      <c r="J52" s="2079"/>
      <c r="K52" s="2078" t="str">
        <f>S48&amp;".1"</f>
        <v>...1</v>
      </c>
      <c r="L52" s="1282"/>
      <c r="P52" s="1995"/>
      <c r="Q52" s="1995"/>
      <c r="R52" s="278">
        <v>1</v>
      </c>
      <c r="S52" s="2126" t="str">
        <f>$K52</f>
        <v>...1</v>
      </c>
      <c r="T52" s="2185"/>
      <c r="U52" s="214"/>
      <c r="V52" s="664"/>
      <c r="W52" s="1178"/>
      <c r="X52" s="664"/>
      <c r="Y52" s="1178"/>
      <c r="Z52" s="1650"/>
      <c r="AA52" s="1374" t="s">
        <v>59</v>
      </c>
      <c r="AB52" s="1650"/>
      <c r="AC52" s="1374" t="s">
        <v>59</v>
      </c>
      <c r="AD52" s="1941" t="s">
        <v>59</v>
      </c>
      <c r="AE52" s="2122"/>
      <c r="AF52" s="1954">
        <v>1</v>
      </c>
      <c r="AG52" s="2184"/>
      <c r="AH52" s="1885" t="s">
        <v>59</v>
      </c>
      <c r="AI52" s="2122"/>
      <c r="AJ52" s="1954">
        <v>1</v>
      </c>
      <c r="AK52" s="2183" t="s">
        <v>18</v>
      </c>
      <c r="AL52" s="1885" t="s">
        <v>59</v>
      </c>
      <c r="AM52" s="1929"/>
      <c r="AN52" s="1954">
        <v>1</v>
      </c>
      <c r="AO52" s="2188"/>
      <c r="AP52" s="2189" t="s">
        <v>59</v>
      </c>
      <c r="AQ52" s="227"/>
      <c r="AR52" s="1377">
        <v>1</v>
      </c>
      <c r="AS52" s="1380" t="s">
        <v>18</v>
      </c>
      <c r="AT52" s="664"/>
      <c r="AU52" s="1178"/>
      <c r="AV52" s="664"/>
      <c r="AW52" s="1178"/>
      <c r="AX52" s="1650"/>
      <c r="AY52" s="1374" t="s">
        <v>59</v>
      </c>
      <c r="AZ52" s="1650"/>
      <c r="BA52" s="1374" t="s">
        <v>59</v>
      </c>
      <c r="BB52" s="1267"/>
      <c r="BC52" s="2098" t="s">
        <v>1696</v>
      </c>
      <c r="BE52" s="426"/>
      <c r="BF52" s="426" t="str">
        <f t="shared" si="3"/>
        <v/>
      </c>
      <c r="BG52" s="426"/>
      <c r="BH52" s="426"/>
    </row>
    <row r="53" spans="1:60" ht="11.25" customHeight="1">
      <c r="A53" s="1281"/>
      <c r="B53" s="1281"/>
      <c r="C53" s="1281"/>
      <c r="D53" s="1281"/>
      <c r="E53" s="2077"/>
      <c r="F53" s="2077"/>
      <c r="G53" s="2077"/>
      <c r="H53" s="2077"/>
      <c r="I53" s="2079"/>
      <c r="J53" s="2079"/>
      <c r="K53" s="2078"/>
      <c r="L53" s="1282"/>
      <c r="P53" s="1995"/>
      <c r="Q53" s="1995"/>
      <c r="R53" s="278"/>
      <c r="S53" s="2127"/>
      <c r="T53" s="2186"/>
      <c r="U53" s="214"/>
      <c r="V53" s="1311"/>
      <c r="W53" s="1408"/>
      <c r="X53" s="1311"/>
      <c r="Y53" s="1408"/>
      <c r="Z53" s="1311"/>
      <c r="AA53" s="1311"/>
      <c r="AB53" s="1311"/>
      <c r="AC53" s="1311"/>
      <c r="AD53" s="1942"/>
      <c r="AE53" s="2122"/>
      <c r="AF53" s="1954"/>
      <c r="AG53" s="2184"/>
      <c r="AH53" s="1885"/>
      <c r="AI53" s="2122"/>
      <c r="AJ53" s="1954"/>
      <c r="AK53" s="2183"/>
      <c r="AL53" s="1885"/>
      <c r="AM53" s="1934"/>
      <c r="AN53" s="1954"/>
      <c r="AO53" s="2188"/>
      <c r="AP53" s="2190"/>
      <c r="AQ53" s="234"/>
      <c r="AR53" s="346"/>
      <c r="AS53" s="346" t="s">
        <v>1697</v>
      </c>
      <c r="AT53" s="1311"/>
      <c r="AU53" s="1408"/>
      <c r="AV53" s="1311"/>
      <c r="AW53" s="1408"/>
      <c r="AX53" s="1311"/>
      <c r="AY53" s="1311"/>
      <c r="AZ53" s="1311"/>
      <c r="BA53" s="1311"/>
      <c r="BB53" s="1315"/>
      <c r="BC53" s="2099"/>
      <c r="BE53" s="426"/>
      <c r="BF53" s="426"/>
      <c r="BG53" s="426"/>
      <c r="BH53" s="426"/>
    </row>
    <row r="54" spans="1:60" ht="11.25" customHeight="1">
      <c r="A54" s="1281" t="s">
        <v>237</v>
      </c>
      <c r="B54" s="1281"/>
      <c r="C54" s="1281"/>
      <c r="D54" s="1281"/>
      <c r="E54" s="2077"/>
      <c r="F54" s="2077"/>
      <c r="G54" s="2077"/>
      <c r="H54" s="2077"/>
      <c r="I54" s="2079"/>
      <c r="J54" s="2079"/>
      <c r="K54" s="2078"/>
      <c r="L54" s="1282"/>
      <c r="P54" s="1995"/>
      <c r="Q54" s="1995"/>
      <c r="R54" s="278"/>
      <c r="S54" s="2127"/>
      <c r="T54" s="2186"/>
      <c r="U54" s="214"/>
      <c r="V54" s="1311"/>
      <c r="W54" s="1408"/>
      <c r="X54" s="1311"/>
      <c r="Y54" s="1408"/>
      <c r="Z54" s="1311"/>
      <c r="AA54" s="1311"/>
      <c r="AB54" s="1311"/>
      <c r="AC54" s="1311"/>
      <c r="AD54" s="1942"/>
      <c r="AE54" s="2122"/>
      <c r="AF54" s="1954"/>
      <c r="AG54" s="2184"/>
      <c r="AH54" s="1885"/>
      <c r="AI54" s="2122"/>
      <c r="AJ54" s="1954"/>
      <c r="AK54" s="2183"/>
      <c r="AL54" s="1885"/>
      <c r="AM54" s="234"/>
      <c r="AN54" s="1412"/>
      <c r="AO54" s="1412" t="s">
        <v>1698</v>
      </c>
      <c r="AP54" s="346"/>
      <c r="AQ54" s="346"/>
      <c r="AR54" s="346"/>
      <c r="AS54" s="1311"/>
      <c r="AT54" s="1311"/>
      <c r="AU54" s="1408"/>
      <c r="AV54" s="1311"/>
      <c r="AW54" s="1408"/>
      <c r="AX54" s="1311"/>
      <c r="AY54" s="1311"/>
      <c r="AZ54" s="1311"/>
      <c r="BA54" s="1311"/>
      <c r="BB54" s="1315"/>
      <c r="BC54" s="2099"/>
      <c r="BE54" s="426"/>
      <c r="BF54" s="426"/>
      <c r="BG54" s="426"/>
      <c r="BH54" s="426"/>
    </row>
    <row r="55" spans="1:60" ht="11.25" customHeight="1">
      <c r="A55" s="1281" t="s">
        <v>237</v>
      </c>
      <c r="B55" s="1281"/>
      <c r="C55" s="1281"/>
      <c r="D55" s="1281"/>
      <c r="E55" s="2077"/>
      <c r="F55" s="2077"/>
      <c r="G55" s="2077"/>
      <c r="H55" s="2077"/>
      <c r="I55" s="2079"/>
      <c r="J55" s="2079"/>
      <c r="K55" s="2078"/>
      <c r="L55" s="1282"/>
      <c r="P55" s="1995"/>
      <c r="Q55" s="1995"/>
      <c r="R55" s="278"/>
      <c r="S55" s="2127"/>
      <c r="T55" s="2186"/>
      <c r="U55" s="214"/>
      <c r="V55" s="1311"/>
      <c r="W55" s="1408"/>
      <c r="X55" s="1311"/>
      <c r="Y55" s="1408"/>
      <c r="Z55" s="1311"/>
      <c r="AA55" s="1311"/>
      <c r="AB55" s="1311"/>
      <c r="AC55" s="1311"/>
      <c r="AD55" s="1942"/>
      <c r="AE55" s="2122"/>
      <c r="AF55" s="1954"/>
      <c r="AG55" s="2184"/>
      <c r="AH55" s="1885"/>
      <c r="AI55" s="208"/>
      <c r="AJ55" s="345"/>
      <c r="AK55" s="229" t="s">
        <v>1699</v>
      </c>
      <c r="AL55" s="1311"/>
      <c r="AM55" s="1311"/>
      <c r="AN55" s="1311"/>
      <c r="AO55" s="1311"/>
      <c r="AP55" s="1311"/>
      <c r="AQ55" s="1311"/>
      <c r="AR55" s="1311"/>
      <c r="AS55" s="1311"/>
      <c r="AT55" s="1311"/>
      <c r="AU55" s="1408"/>
      <c r="AV55" s="1311"/>
      <c r="AW55" s="1408"/>
      <c r="AX55" s="1311"/>
      <c r="AY55" s="1311"/>
      <c r="AZ55" s="1311"/>
      <c r="BA55" s="1311"/>
      <c r="BB55" s="1315"/>
      <c r="BC55" s="2099"/>
      <c r="BE55" s="426"/>
      <c r="BF55" s="426"/>
      <c r="BG55" s="426"/>
      <c r="BH55" s="426"/>
    </row>
    <row r="56" spans="1:60" ht="11.25" customHeight="1">
      <c r="A56" s="1281" t="s">
        <v>237</v>
      </c>
      <c r="B56" s="1281" t="s">
        <v>238</v>
      </c>
      <c r="C56" s="1281" t="s">
        <v>239</v>
      </c>
      <c r="D56" s="1281" t="s">
        <v>1710</v>
      </c>
      <c r="E56" s="2077"/>
      <c r="F56" s="2077"/>
      <c r="G56" s="2077"/>
      <c r="H56" s="2077"/>
      <c r="I56" s="2079"/>
      <c r="J56" s="2079"/>
      <c r="K56" s="2078"/>
      <c r="L56" s="1282"/>
      <c r="P56" s="1995"/>
      <c r="Q56" s="1995"/>
      <c r="R56" s="278"/>
      <c r="S56" s="2128"/>
      <c r="T56" s="2187"/>
      <c r="U56" s="214"/>
      <c r="V56" s="1311"/>
      <c r="W56" s="1312" t="str">
        <f>Z52&amp;"-"&amp;AB52</f>
        <v>-</v>
      </c>
      <c r="X56" s="1311"/>
      <c r="Y56" s="1312" t="str">
        <f>AB52&amp;"-"&amp;AD52</f>
        <v>-да</v>
      </c>
      <c r="Z56" s="1311"/>
      <c r="AA56" s="1311"/>
      <c r="AB56" s="1311"/>
      <c r="AC56" s="1311"/>
      <c r="AD56" s="1890"/>
      <c r="AE56" s="228"/>
      <c r="AF56" s="230"/>
      <c r="AG56" s="346" t="s">
        <v>1700</v>
      </c>
      <c r="AH56" s="1311"/>
      <c r="AI56" s="1311"/>
      <c r="AJ56" s="1311"/>
      <c r="AK56" s="1311"/>
      <c r="AL56" s="1311"/>
      <c r="AM56" s="1311"/>
      <c r="AN56" s="1311"/>
      <c r="AO56" s="1311"/>
      <c r="AP56" s="1311"/>
      <c r="AQ56" s="1311"/>
      <c r="AR56" s="1311"/>
      <c r="AS56" s="1311"/>
      <c r="AT56" s="1311"/>
      <c r="AU56" s="1312" t="str">
        <f>AX52&amp;"-"&amp;AZ52</f>
        <v>-</v>
      </c>
      <c r="AV56" s="1311"/>
      <c r="AW56" s="1312" t="str">
        <f>AZ52&amp;"-"&amp;BB52</f>
        <v>-</v>
      </c>
      <c r="AX56" s="1311"/>
      <c r="AY56" s="1311"/>
      <c r="AZ56" s="1311"/>
      <c r="BA56" s="1311"/>
      <c r="BB56" s="1314" t="str">
        <f>BE52&amp;"-"&amp;BG52</f>
        <v>-</v>
      </c>
      <c r="BC56" s="2099"/>
      <c r="BE56" s="426"/>
      <c r="BF56" s="426" t="str">
        <f t="shared" ref="BF56:BF63" si="4">IF(T56="","",T56)</f>
        <v/>
      </c>
      <c r="BG56" s="426"/>
      <c r="BH56" s="426"/>
    </row>
    <row r="57" spans="1:60" ht="11.25" customHeight="1">
      <c r="A57" s="1281" t="s">
        <v>237</v>
      </c>
      <c r="B57" s="1281" t="s">
        <v>238</v>
      </c>
      <c r="C57" s="1281" t="s">
        <v>239</v>
      </c>
      <c r="D57" s="1281" t="s">
        <v>1710</v>
      </c>
      <c r="E57" s="2077"/>
      <c r="F57" s="2077"/>
      <c r="G57" s="2077"/>
      <c r="H57" s="2077"/>
      <c r="I57" s="2079"/>
      <c r="J57" s="2078"/>
      <c r="K57" s="1281"/>
      <c r="L57" s="1282"/>
      <c r="P57" s="1995"/>
      <c r="Q57" s="1995"/>
      <c r="R57" s="277"/>
      <c r="S57" s="1200"/>
      <c r="T57" s="202" t="s">
        <v>540</v>
      </c>
      <c r="U57" s="291"/>
      <c r="V57" s="291"/>
      <c r="W57" s="291"/>
      <c r="X57" s="291"/>
      <c r="Y57" s="291"/>
      <c r="Z57" s="291"/>
      <c r="AA57" s="291"/>
      <c r="AB57" s="291"/>
      <c r="AC57" s="245"/>
      <c r="AD57" s="1417"/>
      <c r="AE57" s="291"/>
      <c r="AF57" s="291"/>
      <c r="AG57" s="291"/>
      <c r="AH57" s="291"/>
      <c r="AI57" s="291"/>
      <c r="AJ57" s="291"/>
      <c r="AK57" s="291"/>
      <c r="AL57" s="291"/>
      <c r="AM57" s="291"/>
      <c r="AN57" s="291"/>
      <c r="AO57" s="291"/>
      <c r="AP57" s="291"/>
      <c r="AQ57" s="291"/>
      <c r="AR57" s="291"/>
      <c r="AS57" s="291"/>
      <c r="AT57" s="291"/>
      <c r="AU57" s="291"/>
      <c r="AV57" s="291"/>
      <c r="AW57" s="291"/>
      <c r="AX57" s="291"/>
      <c r="AY57" s="291"/>
      <c r="AZ57" s="291"/>
      <c r="BA57" s="291"/>
      <c r="BB57" s="245"/>
      <c r="BC57" s="2100"/>
      <c r="BE57" s="426"/>
      <c r="BF57" s="426" t="str">
        <f t="shared" si="4"/>
        <v>Добавить строку</v>
      </c>
      <c r="BG57" s="426"/>
      <c r="BH57" s="426"/>
    </row>
    <row r="58" spans="1:60" s="1559" customFormat="1" ht="0" hidden="1" customHeight="1">
      <c r="A58" s="1262" t="s">
        <v>237</v>
      </c>
      <c r="B58" s="1262" t="s">
        <v>238</v>
      </c>
      <c r="C58" s="1262" t="s">
        <v>239</v>
      </c>
      <c r="D58" s="1262" t="s">
        <v>1710</v>
      </c>
      <c r="E58" s="2077"/>
      <c r="F58" s="2077"/>
      <c r="G58" s="2077"/>
      <c r="H58" s="2077"/>
      <c r="I58" s="2078"/>
      <c r="J58" s="1262"/>
      <c r="K58" s="1262"/>
      <c r="L58" s="1265"/>
      <c r="M58" s="436"/>
      <c r="N58" s="436"/>
      <c r="O58" s="436"/>
      <c r="P58" s="1995"/>
      <c r="Q58" s="1376"/>
      <c r="R58" s="277"/>
      <c r="S58" s="1304"/>
      <c r="T58" s="1305"/>
      <c r="U58" s="1306"/>
      <c r="V58" s="1306"/>
      <c r="W58" s="1306"/>
      <c r="X58" s="1306"/>
      <c r="Y58" s="1306"/>
      <c r="Z58" s="1306"/>
      <c r="AA58" s="1306"/>
      <c r="AB58" s="1306"/>
      <c r="AC58" s="1306"/>
      <c r="AD58" s="1306"/>
      <c r="AE58" s="1306"/>
      <c r="AF58" s="1306"/>
      <c r="AG58" s="1306"/>
      <c r="AH58" s="1306"/>
      <c r="AI58" s="1306"/>
      <c r="AJ58" s="1306"/>
      <c r="AK58" s="1306"/>
      <c r="AL58" s="1306"/>
      <c r="AM58" s="1306"/>
      <c r="AN58" s="1306"/>
      <c r="AO58" s="1306"/>
      <c r="AP58" s="1306"/>
      <c r="AQ58" s="1306"/>
      <c r="AR58" s="1306"/>
      <c r="AS58" s="1306"/>
      <c r="AT58" s="1306"/>
      <c r="AU58" s="1306"/>
      <c r="AV58" s="1306"/>
      <c r="AW58" s="1306"/>
      <c r="AX58" s="1306"/>
      <c r="AY58" s="1306"/>
      <c r="AZ58" s="1306"/>
      <c r="BA58" s="1306"/>
      <c r="BB58" s="1306"/>
      <c r="BC58" s="1307"/>
      <c r="BE58" s="426"/>
      <c r="BF58" s="426" t="str">
        <f t="shared" si="4"/>
        <v/>
      </c>
      <c r="BG58" s="426"/>
      <c r="BH58" s="426"/>
    </row>
    <row r="59" spans="1:60" s="1559" customFormat="1" ht="0" hidden="1" customHeight="1">
      <c r="A59" s="1262" t="s">
        <v>237</v>
      </c>
      <c r="B59" s="1262" t="s">
        <v>238</v>
      </c>
      <c r="C59" s="1262" t="s">
        <v>239</v>
      </c>
      <c r="D59" s="1262" t="s">
        <v>1710</v>
      </c>
      <c r="E59" s="2077"/>
      <c r="F59" s="2077"/>
      <c r="G59" s="2077"/>
      <c r="H59" s="2076"/>
      <c r="I59" s="1262"/>
      <c r="J59" s="1262"/>
      <c r="K59" s="1262"/>
      <c r="L59" s="1265"/>
      <c r="M59" s="1235"/>
      <c r="N59" s="1235"/>
      <c r="O59" s="444"/>
      <c r="P59" s="308"/>
      <c r="Q59" s="1263"/>
      <c r="R59" s="1319"/>
      <c r="S59" s="1304"/>
      <c r="T59" s="1305"/>
      <c r="U59" s="1306"/>
      <c r="V59" s="1306"/>
      <c r="W59" s="1306"/>
      <c r="X59" s="1306"/>
      <c r="Y59" s="1306"/>
      <c r="Z59" s="1306"/>
      <c r="AA59" s="1306"/>
      <c r="AB59" s="1306"/>
      <c r="AC59" s="1306"/>
      <c r="AD59" s="1306"/>
      <c r="AE59" s="1306"/>
      <c r="AF59" s="1306"/>
      <c r="AG59" s="1306"/>
      <c r="AH59" s="1306"/>
      <c r="AI59" s="1306"/>
      <c r="AJ59" s="1306"/>
      <c r="AK59" s="1306"/>
      <c r="AL59" s="1306"/>
      <c r="AM59" s="1306"/>
      <c r="AN59" s="1306"/>
      <c r="AO59" s="1306"/>
      <c r="AP59" s="1306"/>
      <c r="AQ59" s="1306"/>
      <c r="AR59" s="1306"/>
      <c r="AS59" s="1306"/>
      <c r="AT59" s="1306"/>
      <c r="AU59" s="1306"/>
      <c r="AV59" s="1306"/>
      <c r="AW59" s="1306"/>
      <c r="AX59" s="1306"/>
      <c r="AY59" s="1306"/>
      <c r="AZ59" s="1306"/>
      <c r="BA59" s="1306"/>
      <c r="BB59" s="1306"/>
      <c r="BC59" s="1307"/>
      <c r="BE59" s="426"/>
      <c r="BF59" s="426" t="str">
        <f t="shared" si="4"/>
        <v/>
      </c>
      <c r="BG59" s="426"/>
      <c r="BH59" s="426"/>
    </row>
    <row r="60" spans="1:60" s="1559" customFormat="1" ht="0" hidden="1" customHeight="1">
      <c r="A60" s="1262" t="s">
        <v>237</v>
      </c>
      <c r="B60" s="1262" t="s">
        <v>238</v>
      </c>
      <c r="C60" s="1262" t="s">
        <v>239</v>
      </c>
      <c r="D60" s="1234"/>
      <c r="E60" s="2077"/>
      <c r="F60" s="2077"/>
      <c r="G60" s="2076"/>
      <c r="H60" s="1234"/>
      <c r="I60" s="1234"/>
      <c r="J60" s="1234"/>
      <c r="K60" s="1234"/>
      <c r="L60" s="1378"/>
      <c r="M60" s="1235"/>
      <c r="N60" s="1235"/>
      <c r="P60" s="1236"/>
      <c r="Q60" s="1237"/>
      <c r="R60" s="1236"/>
      <c r="S60" s="1242"/>
      <c r="T60" s="1245"/>
      <c r="U60" s="1244"/>
      <c r="V60" s="1244"/>
      <c r="W60" s="1244"/>
      <c r="X60" s="1244"/>
      <c r="Y60" s="1244"/>
      <c r="Z60" s="1244"/>
      <c r="AA60" s="1244"/>
      <c r="AB60" s="1244"/>
      <c r="AC60" s="1244"/>
      <c r="AD60" s="1244"/>
      <c r="AE60" s="1244"/>
      <c r="AF60" s="1244"/>
      <c r="AG60" s="1244"/>
      <c r="AH60" s="1244"/>
      <c r="AI60" s="1244"/>
      <c r="AJ60" s="1244"/>
      <c r="AK60" s="1244"/>
      <c r="AL60" s="1244"/>
      <c r="AM60" s="1244"/>
      <c r="AN60" s="1244"/>
      <c r="AO60" s="1244"/>
      <c r="AP60" s="1244"/>
      <c r="AQ60" s="1244"/>
      <c r="AR60" s="1244"/>
      <c r="AS60" s="1244"/>
      <c r="AT60" s="1244"/>
      <c r="AU60" s="1244"/>
      <c r="AV60" s="1244"/>
      <c r="AW60" s="1244"/>
      <c r="AX60" s="1244"/>
      <c r="AY60" s="1244"/>
      <c r="AZ60" s="1244"/>
      <c r="BA60" s="1244"/>
      <c r="BB60" s="1244"/>
      <c r="BC60" s="1244"/>
      <c r="BE60" s="702"/>
      <c r="BF60" s="702" t="str">
        <f t="shared" si="4"/>
        <v/>
      </c>
      <c r="BG60" s="702"/>
      <c r="BH60" s="702"/>
    </row>
    <row r="61" spans="1:60" s="1559" customFormat="1" ht="0" hidden="1" customHeight="1">
      <c r="A61" s="1262" t="s">
        <v>237</v>
      </c>
      <c r="B61" s="1262" t="s">
        <v>238</v>
      </c>
      <c r="C61" s="1234"/>
      <c r="D61" s="1234"/>
      <c r="E61" s="2077"/>
      <c r="F61" s="2076"/>
      <c r="G61" s="1234"/>
      <c r="H61" s="1234"/>
      <c r="I61" s="1234"/>
      <c r="J61" s="1234"/>
      <c r="K61" s="1234"/>
      <c r="L61" s="1378"/>
      <c r="M61" s="1241"/>
      <c r="N61" s="1241"/>
      <c r="P61" s="1236"/>
      <c r="Q61" s="1237"/>
      <c r="R61" s="1236"/>
      <c r="S61" s="1242"/>
      <c r="T61" s="1245" t="s">
        <v>434</v>
      </c>
      <c r="U61" s="1244"/>
      <c r="V61" s="1244"/>
      <c r="W61" s="1244"/>
      <c r="X61" s="1244"/>
      <c r="Y61" s="1244"/>
      <c r="Z61" s="1244"/>
      <c r="AA61" s="1244"/>
      <c r="AB61" s="1244"/>
      <c r="AC61" s="1244"/>
      <c r="AD61" s="1244"/>
      <c r="AE61" s="1244"/>
      <c r="AF61" s="1244"/>
      <c r="AG61" s="1244"/>
      <c r="AH61" s="1244"/>
      <c r="AI61" s="1244"/>
      <c r="AJ61" s="1244"/>
      <c r="AK61" s="1244"/>
      <c r="AL61" s="1244"/>
      <c r="AM61" s="1244"/>
      <c r="AN61" s="1244"/>
      <c r="AO61" s="1244"/>
      <c r="AP61" s="1244"/>
      <c r="AQ61" s="1244"/>
      <c r="AR61" s="1244"/>
      <c r="AS61" s="1244"/>
      <c r="AT61" s="1244"/>
      <c r="AU61" s="1244"/>
      <c r="AV61" s="1244"/>
      <c r="AW61" s="1244"/>
      <c r="AX61" s="1244"/>
      <c r="AY61" s="1244"/>
      <c r="AZ61" s="1244"/>
      <c r="BA61" s="1244"/>
      <c r="BB61" s="1244"/>
      <c r="BC61" s="1244"/>
      <c r="BE61" s="702"/>
      <c r="BF61" s="702" t="str">
        <f t="shared" si="4"/>
        <v>Добавить централизованную систему для дифференциации</v>
      </c>
      <c r="BG61" s="702"/>
      <c r="BH61" s="702"/>
    </row>
    <row r="62" spans="1:60" s="1559" customFormat="1" ht="0" hidden="1" customHeight="1">
      <c r="A62" s="1262" t="s">
        <v>237</v>
      </c>
      <c r="B62" s="1262"/>
      <c r="C62" s="1262"/>
      <c r="D62" s="1262"/>
      <c r="E62" s="2076"/>
      <c r="F62" s="1262"/>
      <c r="G62" s="1262"/>
      <c r="H62" s="1262"/>
      <c r="I62" s="1262"/>
      <c r="J62" s="1262"/>
      <c r="K62" s="1262"/>
      <c r="L62" s="1265"/>
      <c r="M62" s="1241"/>
      <c r="N62" s="1241"/>
      <c r="O62" s="444"/>
      <c r="P62" s="308"/>
      <c r="Q62" s="1263"/>
      <c r="R62" s="308"/>
      <c r="S62" s="1242"/>
      <c r="T62" s="1245" t="s">
        <v>435</v>
      </c>
      <c r="U62" s="1244"/>
      <c r="V62" s="1244"/>
      <c r="W62" s="1244"/>
      <c r="X62" s="1244"/>
      <c r="Y62" s="1244"/>
      <c r="Z62" s="1244"/>
      <c r="AA62" s="1244"/>
      <c r="AB62" s="1244"/>
      <c r="AC62" s="1244"/>
      <c r="AD62" s="1244"/>
      <c r="AE62" s="1244"/>
      <c r="AF62" s="1244"/>
      <c r="AG62" s="1244"/>
      <c r="AH62" s="1244"/>
      <c r="AI62" s="1244"/>
      <c r="AJ62" s="1244"/>
      <c r="AK62" s="1244"/>
      <c r="AL62" s="1244"/>
      <c r="AM62" s="1244"/>
      <c r="AN62" s="1244"/>
      <c r="AO62" s="1244"/>
      <c r="AP62" s="1244"/>
      <c r="AQ62" s="1244"/>
      <c r="AR62" s="1244"/>
      <c r="AS62" s="1244"/>
      <c r="AT62" s="1244"/>
      <c r="AU62" s="1244"/>
      <c r="AV62" s="1244"/>
      <c r="AW62" s="1244"/>
      <c r="AX62" s="1244"/>
      <c r="AY62" s="1244"/>
      <c r="AZ62" s="1244"/>
      <c r="BA62" s="1244"/>
      <c r="BB62" s="1244"/>
      <c r="BC62" s="1244"/>
      <c r="BE62" s="426"/>
      <c r="BF62" s="426" t="str">
        <f t="shared" si="4"/>
        <v>Добавить территорию для дифференциации</v>
      </c>
      <c r="BG62" s="426"/>
      <c r="BH62" s="426"/>
    </row>
    <row r="63" spans="1:60" s="1559" customFormat="1" ht="0" hidden="1" customHeight="1">
      <c r="A63" s="1234"/>
      <c r="B63" s="1234"/>
      <c r="C63" s="1234"/>
      <c r="D63" s="1234"/>
      <c r="E63" s="1262"/>
      <c r="F63" s="1234"/>
      <c r="G63" s="1234"/>
      <c r="H63" s="1234"/>
      <c r="I63" s="1234"/>
      <c r="J63" s="1234"/>
      <c r="K63" s="1234"/>
      <c r="L63" s="1378"/>
      <c r="M63" s="1241"/>
      <c r="N63" s="1241"/>
      <c r="P63" s="1236"/>
      <c r="Q63" s="1237"/>
      <c r="R63" s="1236"/>
      <c r="S63" s="1242"/>
      <c r="T63" s="1245" t="s">
        <v>436</v>
      </c>
      <c r="U63" s="1244"/>
      <c r="V63" s="1244"/>
      <c r="W63" s="1244"/>
      <c r="X63" s="1244"/>
      <c r="Y63" s="1244"/>
      <c r="Z63" s="1244"/>
      <c r="AA63" s="1244"/>
      <c r="AB63" s="1244"/>
      <c r="AC63" s="1244"/>
      <c r="AD63" s="1244"/>
      <c r="AE63" s="1244"/>
      <c r="AF63" s="1244"/>
      <c r="AG63" s="1244"/>
      <c r="AH63" s="1244"/>
      <c r="AI63" s="1244"/>
      <c r="AJ63" s="1244"/>
      <c r="AK63" s="1244"/>
      <c r="AL63" s="1244"/>
      <c r="AM63" s="1244"/>
      <c r="AN63" s="1244"/>
      <c r="AO63" s="1244"/>
      <c r="AP63" s="1244"/>
      <c r="AQ63" s="1244"/>
      <c r="AR63" s="1244"/>
      <c r="AS63" s="1244"/>
      <c r="AT63" s="1244"/>
      <c r="AU63" s="1244"/>
      <c r="AV63" s="1244"/>
      <c r="AW63" s="1244"/>
      <c r="AX63" s="1244"/>
      <c r="AY63" s="1244"/>
      <c r="AZ63" s="1244"/>
      <c r="BA63" s="1244"/>
      <c r="BB63" s="1244"/>
      <c r="BC63" s="1244"/>
      <c r="BE63" s="702"/>
      <c r="BF63" s="702" t="str">
        <f t="shared" si="4"/>
        <v>Добавить наименование тарифа</v>
      </c>
      <c r="BG63" s="702"/>
      <c r="BH63" s="702"/>
    </row>
    <row r="64" spans="1:60" ht="11.25" hidden="1" customHeight="1">
      <c r="M64" s="1062"/>
      <c r="N64" s="1062"/>
      <c r="O64" s="462"/>
      <c r="P64" s="1062"/>
      <c r="Q64" s="1062"/>
      <c r="R64" s="1057"/>
      <c r="S64" s="1057"/>
      <c r="BD64" s="1057"/>
      <c r="BE64" s="1057"/>
      <c r="BF64" s="1057"/>
      <c r="BG64" s="1057"/>
      <c r="BH64" s="1057"/>
    </row>
    <row r="65" spans="15:55" ht="18.75" hidden="1" customHeight="1">
      <c r="O65" s="462"/>
      <c r="S65" s="1166" t="s">
        <v>508</v>
      </c>
      <c r="T65" s="2075" t="s">
        <v>1711</v>
      </c>
      <c r="U65" s="2075"/>
      <c r="V65" s="2075"/>
      <c r="W65" s="2075"/>
      <c r="X65" s="2075"/>
      <c r="Y65" s="2075"/>
      <c r="Z65" s="2075"/>
      <c r="AA65" s="2075"/>
      <c r="AB65" s="2075"/>
      <c r="AC65" s="2075"/>
      <c r="AD65" s="2075"/>
      <c r="AE65" s="2075"/>
      <c r="AF65" s="2075"/>
      <c r="AG65" s="2075"/>
      <c r="AH65" s="2075"/>
      <c r="AI65" s="2075"/>
      <c r="AJ65" s="2075"/>
      <c r="AK65" s="2075"/>
      <c r="AL65" s="2075"/>
      <c r="AM65" s="2075"/>
      <c r="AN65" s="2075"/>
      <c r="AO65" s="2075"/>
      <c r="AP65" s="2075"/>
      <c r="AQ65" s="2075"/>
      <c r="AR65" s="2075"/>
      <c r="AS65" s="2075"/>
      <c r="AT65" s="2075"/>
      <c r="AU65" s="2075"/>
      <c r="AV65" s="2075"/>
      <c r="AW65" s="2075"/>
      <c r="AX65" s="2075"/>
      <c r="AY65" s="2075"/>
      <c r="AZ65" s="2075"/>
      <c r="BA65" s="2075"/>
      <c r="BB65" s="2075"/>
      <c r="BC65" s="2075"/>
    </row>
    <row r="66" spans="15:55" ht="14.25" hidden="1" customHeight="1">
      <c r="O66" s="462"/>
      <c r="T66" s="1364"/>
      <c r="U66" s="1364"/>
      <c r="V66" s="1364"/>
      <c r="W66" s="1364"/>
      <c r="X66" s="1364"/>
      <c r="Y66" s="1364"/>
      <c r="Z66" s="1364"/>
      <c r="AA66" s="1364"/>
      <c r="AB66" s="1364"/>
      <c r="AC66" s="1364"/>
      <c r="AD66" s="1364"/>
      <c r="AE66" s="1364"/>
      <c r="AF66" s="1364"/>
      <c r="AG66" s="1364"/>
      <c r="AH66" s="1364"/>
      <c r="AI66" s="1364"/>
      <c r="AJ66" s="1364"/>
      <c r="AK66" s="1364"/>
      <c r="AL66" s="1364"/>
      <c r="AM66" s="1364"/>
      <c r="AN66" s="1364"/>
      <c r="AO66" s="1364"/>
      <c r="AP66" s="1364"/>
      <c r="AQ66" s="1364"/>
      <c r="AR66" s="1364"/>
      <c r="AS66" s="1364"/>
      <c r="AT66" s="1364"/>
      <c r="AU66" s="1364"/>
      <c r="AV66" s="1364"/>
      <c r="AW66" s="1364"/>
      <c r="AX66" s="1364"/>
      <c r="AY66" s="1364"/>
      <c r="AZ66" s="1364"/>
      <c r="BA66" s="1364"/>
      <c r="BB66" s="1364"/>
      <c r="BC66" s="1364"/>
    </row>
    <row r="67" spans="15:55" ht="18.75" hidden="1" customHeight="1">
      <c r="O67" s="462"/>
      <c r="S67" s="1166" t="s">
        <v>508</v>
      </c>
      <c r="T67" s="2075" t="s">
        <v>1712</v>
      </c>
      <c r="U67" s="2075"/>
      <c r="V67" s="2075"/>
      <c r="W67" s="2075"/>
      <c r="X67" s="2075"/>
      <c r="Y67" s="2075"/>
      <c r="Z67" s="2075"/>
      <c r="AA67" s="2075"/>
      <c r="AB67" s="2075"/>
      <c r="AC67" s="2075"/>
      <c r="AD67" s="2075"/>
      <c r="AE67" s="2075"/>
      <c r="AF67" s="2075"/>
      <c r="AG67" s="2075"/>
      <c r="AH67" s="2075"/>
      <c r="AI67" s="2075"/>
      <c r="AJ67" s="2075"/>
      <c r="AK67" s="2075"/>
      <c r="AL67" s="2075"/>
      <c r="AM67" s="2075"/>
      <c r="AN67" s="2075"/>
      <c r="AO67" s="2075"/>
      <c r="AP67" s="2075"/>
      <c r="AQ67" s="2075"/>
      <c r="AR67" s="2075"/>
      <c r="AS67" s="2075"/>
      <c r="AT67" s="2075"/>
      <c r="AU67" s="2075"/>
      <c r="AV67" s="2075"/>
      <c r="AW67" s="2075"/>
      <c r="AX67" s="2075"/>
      <c r="AY67" s="2075"/>
      <c r="AZ67" s="2075"/>
      <c r="BA67" s="2075"/>
      <c r="BB67" s="2075"/>
      <c r="BC67" s="2075"/>
    </row>
    <row r="68" spans="15:55" ht="14.25" customHeight="1">
      <c r="O68" s="462"/>
    </row>
  </sheetData>
  <sheetProtection formatColumns="0" formatRows="0" insertRows="0" deleteColumns="0" deleteRows="0" sort="0" autoFilter="0"/>
  <mergeCells count="122">
    <mergeCell ref="E2:E18"/>
    <mergeCell ref="V2:AC2"/>
    <mergeCell ref="AD2:BB2"/>
    <mergeCell ref="F3:F17"/>
    <mergeCell ref="V3:AC3"/>
    <mergeCell ref="AD3:BB3"/>
    <mergeCell ref="G4:G16"/>
    <mergeCell ref="V4:AC4"/>
    <mergeCell ref="AD4:BB4"/>
    <mergeCell ref="H5:H15"/>
    <mergeCell ref="AM8:AM9"/>
    <mergeCell ref="AN8:AN9"/>
    <mergeCell ref="AO8:AO9"/>
    <mergeCell ref="AP8:AP9"/>
    <mergeCell ref="AD8:AD12"/>
    <mergeCell ref="V5:AC5"/>
    <mergeCell ref="AD5:BB5"/>
    <mergeCell ref="I6:I14"/>
    <mergeCell ref="P6:P14"/>
    <mergeCell ref="V6:AC6"/>
    <mergeCell ref="AD6:BB6"/>
    <mergeCell ref="J7:J13"/>
    <mergeCell ref="Q7:Q13"/>
    <mergeCell ref="V7:AC7"/>
    <mergeCell ref="AD7:BB7"/>
    <mergeCell ref="K8:K12"/>
    <mergeCell ref="R8:R12"/>
    <mergeCell ref="S8:S12"/>
    <mergeCell ref="T8:T12"/>
    <mergeCell ref="AH8:AH11"/>
    <mergeCell ref="AI8:AI10"/>
    <mergeCell ref="AJ8:AJ10"/>
    <mergeCell ref="S28:AZ28"/>
    <mergeCell ref="S29:AZ29"/>
    <mergeCell ref="BC8:BC13"/>
    <mergeCell ref="AK8:AK10"/>
    <mergeCell ref="AL8:AL10"/>
    <mergeCell ref="AE8:AE11"/>
    <mergeCell ref="AF8:AF11"/>
    <mergeCell ref="AG8:AG11"/>
    <mergeCell ref="S31:T31"/>
    <mergeCell ref="V31:AB31"/>
    <mergeCell ref="AD31:AZ31"/>
    <mergeCell ref="K52:K56"/>
    <mergeCell ref="S52:S56"/>
    <mergeCell ref="S32:T32"/>
    <mergeCell ref="V32:AB32"/>
    <mergeCell ref="AD32:AZ32"/>
    <mergeCell ref="S36:T36"/>
    <mergeCell ref="V36:AB36"/>
    <mergeCell ref="AD36:AZ36"/>
    <mergeCell ref="S37:T37"/>
    <mergeCell ref="V37:AB37"/>
    <mergeCell ref="AD37:AZ37"/>
    <mergeCell ref="S33:T33"/>
    <mergeCell ref="V33:AB33"/>
    <mergeCell ref="AD33:AZ33"/>
    <mergeCell ref="S34:T34"/>
    <mergeCell ref="V34:AB34"/>
    <mergeCell ref="AD34:AZ34"/>
    <mergeCell ref="V39:AC39"/>
    <mergeCell ref="AD39:BA39"/>
    <mergeCell ref="S40:BB40"/>
    <mergeCell ref="AA45:AB45"/>
    <mergeCell ref="AY45:AZ45"/>
    <mergeCell ref="AD50:BB50"/>
    <mergeCell ref="BC40:BC44"/>
    <mergeCell ref="S41:S44"/>
    <mergeCell ref="T41:T44"/>
    <mergeCell ref="AC41:AC44"/>
    <mergeCell ref="AD41:AG44"/>
    <mergeCell ref="AH41:AK44"/>
    <mergeCell ref="X42:Y43"/>
    <mergeCell ref="V41:AB41"/>
    <mergeCell ref="AP41:AS44"/>
    <mergeCell ref="AT41:AZ41"/>
    <mergeCell ref="AT42:AU43"/>
    <mergeCell ref="AV42:AW43"/>
    <mergeCell ref="AX42:AZ43"/>
    <mergeCell ref="AA44:AB44"/>
    <mergeCell ref="AY44:AZ44"/>
    <mergeCell ref="AL41:AO44"/>
    <mergeCell ref="BA41:BA44"/>
    <mergeCell ref="BB41:BB44"/>
    <mergeCell ref="V42:W43"/>
    <mergeCell ref="Z42:AB43"/>
    <mergeCell ref="E46:E62"/>
    <mergeCell ref="V46:AC46"/>
    <mergeCell ref="AD46:BB46"/>
    <mergeCell ref="F47:F61"/>
    <mergeCell ref="V47:AC47"/>
    <mergeCell ref="AM52:AM53"/>
    <mergeCell ref="AN52:AN53"/>
    <mergeCell ref="AO52:AO53"/>
    <mergeCell ref="AP52:AP53"/>
    <mergeCell ref="AD52:AD56"/>
    <mergeCell ref="G48:G60"/>
    <mergeCell ref="V48:AC48"/>
    <mergeCell ref="AD48:BB48"/>
    <mergeCell ref="H49:H59"/>
    <mergeCell ref="V49:AC49"/>
    <mergeCell ref="AD49:BB49"/>
    <mergeCell ref="AD47:BB47"/>
    <mergeCell ref="I50:I58"/>
    <mergeCell ref="P50:P58"/>
    <mergeCell ref="V50:AC50"/>
    <mergeCell ref="J51:J57"/>
    <mergeCell ref="Q51:Q57"/>
    <mergeCell ref="V51:AC51"/>
    <mergeCell ref="AD51:BB51"/>
    <mergeCell ref="T67:BC67"/>
    <mergeCell ref="AK52:AK54"/>
    <mergeCell ref="AL52:AL54"/>
    <mergeCell ref="AE52:AE55"/>
    <mergeCell ref="AF52:AF55"/>
    <mergeCell ref="AG52:AG55"/>
    <mergeCell ref="AH52:AH55"/>
    <mergeCell ref="AI52:AI54"/>
    <mergeCell ref="AJ52:AJ54"/>
    <mergeCell ref="BC52:BC57"/>
    <mergeCell ref="T52:T56"/>
    <mergeCell ref="T65:BC65"/>
  </mergeCells>
  <dataValidations count="9">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249977111117893"/>
  </sheetPr>
  <dimension ref="A1:AF302"/>
  <sheetViews>
    <sheetView showGridLines="0" topLeftCell="D20" zoomScale="90" workbookViewId="0">
      <selection activeCell="J1" sqref="J1:J1048576"/>
    </sheetView>
  </sheetViews>
  <sheetFormatPr defaultColWidth="9.140625" defaultRowHeight="11.25" customHeight="1"/>
  <cols>
    <col min="1" max="1" width="10.7109375" style="899" hidden="1" customWidth="1"/>
    <col min="2" max="2" width="16.85546875" style="1284" hidden="1" customWidth="1"/>
    <col min="3" max="3" width="5.5703125" style="1559" hidden="1" customWidth="1"/>
    <col min="4" max="4" width="3.7109375" style="1552" customWidth="1"/>
    <col min="5" max="5" width="7.7109375" style="1552" customWidth="1"/>
    <col min="6" max="6" width="54.5703125" style="1552" customWidth="1"/>
    <col min="7" max="7" width="10.42578125" style="1552" customWidth="1"/>
    <col min="8" max="8" width="40.7109375" style="1552" hidden="1" customWidth="1"/>
    <col min="9" max="10" width="40.7109375" style="1552" customWidth="1"/>
    <col min="11" max="11" width="40.7109375" style="1552" hidden="1" customWidth="1"/>
    <col min="12" max="12" width="9.7109375" style="1284" customWidth="1"/>
    <col min="13" max="13" width="5.28515625" style="1559" customWidth="1"/>
    <col min="14" max="14" width="3.7109375" style="1559" customWidth="1"/>
    <col min="15" max="18" width="3.7109375" style="1284" customWidth="1"/>
    <col min="19" max="19" width="10.5703125" style="1559" customWidth="1"/>
    <col min="20" max="20" width="34.7109375" style="1284" customWidth="1"/>
    <col min="21" max="21" width="9.42578125" style="1284" customWidth="1"/>
    <col min="22" max="22" width="9.140625" style="652"/>
    <col min="23" max="27" width="9.140625" style="1284"/>
    <col min="28" max="32" width="9.140625" style="1549"/>
  </cols>
  <sheetData>
    <row r="1" spans="1:32" ht="11.25" hidden="1" customHeight="1"/>
    <row r="2" spans="1:32" ht="23.25" hidden="1" customHeight="1">
      <c r="B2" s="1859"/>
      <c r="C2" s="1069" t="s">
        <v>1713</v>
      </c>
      <c r="D2" s="1555"/>
      <c r="E2" s="470">
        <f>B2</f>
        <v>0</v>
      </c>
      <c r="F2" s="471"/>
      <c r="G2" s="1563" t="s">
        <v>428</v>
      </c>
      <c r="H2" s="1563" t="s">
        <v>428</v>
      </c>
      <c r="I2" s="1563" t="s">
        <v>428</v>
      </c>
      <c r="J2" s="1791" t="s">
        <v>428</v>
      </c>
      <c r="K2" s="1791" t="s">
        <v>428</v>
      </c>
      <c r="L2" s="467"/>
    </row>
    <row r="3" spans="1:32" s="1559" customFormat="1" ht="0.75" hidden="1" customHeight="1">
      <c r="B3" s="1859"/>
      <c r="C3" s="1069"/>
      <c r="D3" s="472"/>
      <c r="E3" s="473"/>
      <c r="F3" s="474" t="s">
        <v>1714</v>
      </c>
      <c r="G3" s="475"/>
      <c r="H3" s="475">
        <f>H4*H5+H7</f>
        <v>0</v>
      </c>
      <c r="I3" s="475">
        <f>I4*I5+I6</f>
        <v>0</v>
      </c>
      <c r="J3" s="921">
        <f>J4*J5+J7</f>
        <v>0</v>
      </c>
      <c r="K3" s="921">
        <f>K4*K5+K7</f>
        <v>0</v>
      </c>
    </row>
    <row r="4" spans="1:32" ht="23.25" hidden="1" customHeight="1">
      <c r="B4" s="1859"/>
      <c r="C4" s="1069"/>
      <c r="D4" s="1555"/>
      <c r="E4" s="470" t="str">
        <f>B2&amp;".1"</f>
        <v>.1</v>
      </c>
      <c r="F4" s="476" t="s">
        <v>1715</v>
      </c>
      <c r="G4" s="477"/>
      <c r="H4" s="466"/>
      <c r="I4" s="466"/>
      <c r="J4" s="664"/>
      <c r="K4" s="664"/>
      <c r="L4" s="467"/>
    </row>
    <row r="5" spans="1:32" ht="18.75" hidden="1" customHeight="1">
      <c r="B5" s="1859"/>
      <c r="C5" s="1069"/>
      <c r="D5" s="1555"/>
      <c r="E5" s="470" t="str">
        <f>B2&amp;".2"</f>
        <v>.2</v>
      </c>
      <c r="F5" s="476" t="s">
        <v>1716</v>
      </c>
      <c r="G5" s="1563" t="s">
        <v>1717</v>
      </c>
      <c r="H5" s="466"/>
      <c r="I5" s="466"/>
      <c r="J5" s="664"/>
      <c r="K5" s="664"/>
      <c r="L5" s="467"/>
    </row>
    <row r="6" spans="1:32" ht="18.75" hidden="1" customHeight="1">
      <c r="B6" s="1859"/>
      <c r="C6" s="1069"/>
      <c r="D6" s="1555"/>
      <c r="E6" s="470" t="str">
        <f>B2&amp;".3"</f>
        <v>.3</v>
      </c>
      <c r="F6" s="476" t="s">
        <v>1718</v>
      </c>
      <c r="G6" s="1563" t="s">
        <v>1717</v>
      </c>
      <c r="H6" s="466"/>
      <c r="I6" s="466"/>
      <c r="J6" s="664"/>
      <c r="K6" s="664"/>
      <c r="L6" s="467"/>
    </row>
    <row r="7" spans="1:32" ht="18.75" hidden="1" customHeight="1">
      <c r="B7" s="1859"/>
      <c r="C7" s="1069"/>
      <c r="D7" s="1555"/>
      <c r="E7" s="470" t="str">
        <f>B2&amp;".4"</f>
        <v>.4</v>
      </c>
      <c r="F7" s="476" t="s">
        <v>1719</v>
      </c>
      <c r="G7" s="1563" t="s">
        <v>428</v>
      </c>
      <c r="H7" s="478"/>
      <c r="I7" s="478"/>
      <c r="J7" s="478"/>
      <c r="K7" s="478"/>
      <c r="L7" s="467"/>
    </row>
    <row r="8" spans="1:32" s="1284" customFormat="1" ht="11.25" hidden="1" customHeight="1">
      <c r="A8" s="899"/>
      <c r="C8" s="1553"/>
      <c r="D8" s="462"/>
      <c r="H8" s="1062">
        <v>4</v>
      </c>
      <c r="I8" s="1062">
        <v>4</v>
      </c>
      <c r="J8" s="1284">
        <v>4</v>
      </c>
      <c r="K8" s="1284">
        <v>4</v>
      </c>
      <c r="M8" s="1553"/>
      <c r="N8" s="1553"/>
      <c r="S8" s="1553"/>
    </row>
    <row r="9" spans="1:32" s="1284" customFormat="1" ht="22.5" hidden="1" customHeight="1">
      <c r="A9" s="899"/>
      <c r="C9" s="1553"/>
      <c r="D9" s="463"/>
      <c r="E9" s="1565"/>
      <c r="F9" s="465"/>
      <c r="G9" s="1563" t="s">
        <v>1717</v>
      </c>
      <c r="H9" s="466"/>
      <c r="I9" s="466"/>
      <c r="J9" s="664"/>
      <c r="K9" s="664"/>
      <c r="L9" s="467"/>
      <c r="M9" s="1553"/>
      <c r="N9" s="1553"/>
      <c r="S9" s="1553"/>
      <c r="V9" s="468"/>
      <c r="AB9" s="1549"/>
      <c r="AC9" s="1549"/>
      <c r="AD9" s="1549"/>
      <c r="AE9" s="1549"/>
      <c r="AF9" s="1549"/>
    </row>
    <row r="10" spans="1:32" ht="11.25" hidden="1" customHeight="1"/>
    <row r="11" spans="1:32" ht="18.75" hidden="1" customHeight="1">
      <c r="D11" s="1555"/>
      <c r="E11" s="470"/>
      <c r="F11" s="465"/>
      <c r="G11" s="1563" t="s">
        <v>630</v>
      </c>
      <c r="H11" s="466"/>
      <c r="I11" s="466"/>
      <c r="J11" s="664"/>
      <c r="K11" s="664"/>
      <c r="L11" s="467"/>
    </row>
    <row r="12" spans="1:32" ht="11.25" hidden="1" customHeight="1"/>
    <row r="13" spans="1:32" ht="22.5" hidden="1" customHeight="1">
      <c r="D13" s="1555"/>
      <c r="E13" s="470"/>
      <c r="F13" s="465"/>
      <c r="G13" s="881" t="s">
        <v>1632</v>
      </c>
      <c r="H13" s="469"/>
      <c r="I13" s="469"/>
      <c r="J13" s="469"/>
      <c r="K13" s="469"/>
      <c r="L13" s="467"/>
    </row>
    <row r="14" spans="1:32" ht="11.25" hidden="1" customHeight="1"/>
    <row r="15" spans="1:32" ht="22.5" hidden="1" customHeight="1">
      <c r="D15" s="1555"/>
      <c r="E15" s="470"/>
      <c r="F15" s="465"/>
      <c r="G15" s="1563" t="s">
        <v>1720</v>
      </c>
      <c r="H15" s="469"/>
      <c r="I15" s="469"/>
      <c r="J15" s="469"/>
      <c r="K15" s="469"/>
      <c r="L15" s="467"/>
    </row>
    <row r="16" spans="1:32" ht="11.25" hidden="1" customHeight="1"/>
    <row r="17" spans="1:27" ht="22.5" hidden="1" customHeight="1">
      <c r="D17" s="1555"/>
      <c r="E17" s="470"/>
      <c r="F17" s="465"/>
      <c r="G17" s="1563" t="s">
        <v>1721</v>
      </c>
      <c r="H17" s="469"/>
      <c r="I17" s="469"/>
      <c r="J17" s="469"/>
      <c r="K17" s="469"/>
      <c r="L17" s="467"/>
    </row>
    <row r="18" spans="1:27" ht="11.25" hidden="1" customHeight="1"/>
    <row r="19" spans="1:27" s="1549" customFormat="1" ht="11.25" hidden="1" customHeight="1">
      <c r="A19" s="899"/>
      <c r="B19" s="1062"/>
      <c r="C19" s="1553"/>
      <c r="D19" s="285"/>
      <c r="L19" s="1062"/>
      <c r="M19" s="1553"/>
      <c r="N19" s="1553"/>
      <c r="O19" s="1062"/>
      <c r="P19" s="1062"/>
      <c r="Q19" s="1062"/>
      <c r="R19" s="1062"/>
      <c r="S19" s="1553"/>
      <c r="T19" s="1062"/>
      <c r="U19" s="1062"/>
      <c r="V19" s="468"/>
      <c r="W19" s="1062"/>
      <c r="X19" s="1062"/>
      <c r="Y19" s="1062"/>
      <c r="Z19" s="1062"/>
      <c r="AA19" s="1062"/>
    </row>
    <row r="21" spans="1:27" ht="24" customHeight="1">
      <c r="E21" s="1867" t="str">
        <f>FHD_NAME_FORM</f>
        <v>Форма 5.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 в сфере холодного водоснабжения)</v>
      </c>
      <c r="F21" s="1868"/>
      <c r="G21" s="1868"/>
      <c r="H21" s="1868"/>
      <c r="I21" s="1869"/>
      <c r="J21" s="1795"/>
      <c r="K21" s="1795"/>
    </row>
    <row r="22" spans="1:27" ht="24" customHeight="1">
      <c r="E22" s="1974" t="str">
        <f>IF(org=0,"Не определено",org)</f>
        <v>АО СЗ "КМАпроектжилстрой"</v>
      </c>
      <c r="F22" s="1975"/>
      <c r="G22" s="1975"/>
      <c r="H22" s="1975"/>
      <c r="I22" s="1976"/>
      <c r="J22" s="1796"/>
      <c r="K22" s="1796"/>
    </row>
    <row r="23" spans="1:27" ht="11.25" customHeight="1">
      <c r="E23" s="1039"/>
      <c r="F23" s="1039"/>
      <c r="G23" s="1039"/>
      <c r="H23" s="1039"/>
      <c r="I23" s="1039"/>
      <c r="J23" s="1040"/>
      <c r="K23" s="1040"/>
    </row>
    <row r="24" spans="1:27" s="1559" customFormat="1" ht="0.75" customHeight="1">
      <c r="A24" s="1069"/>
      <c r="H24" s="803"/>
      <c r="I24" s="803" t="s">
        <v>118</v>
      </c>
      <c r="J24" s="803" t="s">
        <v>123</v>
      </c>
      <c r="K24" s="803"/>
    </row>
    <row r="25" spans="1:27" ht="11.25" customHeight="1">
      <c r="E25" s="626"/>
      <c r="F25" s="2164" t="s">
        <v>105</v>
      </c>
      <c r="G25" s="2165"/>
      <c r="H25" s="1569" t="str">
        <f>IF(H24="","",INDEX(DIFFERENTIATION_UNMERGE_VD,MATCH(H24,DIFFERENTIATION_ID_DIFF,0)))</f>
        <v/>
      </c>
      <c r="I25" s="1569" t="str">
        <f>IF(I24="","",INDEX(DIFFERENTIATION_UNMERGE_VD,MATCH(I24,DIFFERENTIATION_ID_DIFF,0)))</f>
        <v>Холодное водоснабжение. Питьевая вода; Транспортировка. Питьевая вода; Подключение (технологическое присоединение) к централизованной системе водоснабжения</v>
      </c>
      <c r="J25" s="1805" t="str">
        <f>IF(J24="","",INDEX(DIFFERENTIATION_UNMERGE_VD,MATCH(J24,DIFFERENTIATION_ID_DIFF,0)))</f>
        <v>Холодное водоснабжение. Питьевая вода; Транспортировка. Питьевая вода; Подключение (технологическое присоединение) к централизованной системе водоснабжения</v>
      </c>
      <c r="K25" s="1805" t="str">
        <f>IF(K24="","",INDEX(DIFFERENTIATION_UNMERGE_VD,MATCH(K24,DIFFERENTIATION_ID_DIFF,0)))</f>
        <v/>
      </c>
    </row>
    <row r="26" spans="1:27" ht="11.25" customHeight="1">
      <c r="E26" s="626"/>
      <c r="F26" s="2164" t="s">
        <v>416</v>
      </c>
      <c r="G26" s="2165"/>
      <c r="H26" s="1569" t="str">
        <f>IF(H24="","",INDEX(DIFFERENTIATION_UNMERGE_AREA,MATCH(H24,DIFFERENTIATION_ID_DIFF,0)))</f>
        <v/>
      </c>
      <c r="I26" s="1569" t="str">
        <f>IF(I24="","",INDEX(DIFFERENTIATION_UNMERGE_AREA,MATCH(I24,DIFFERENTIATION_ID_DIFF,0)))</f>
        <v>без дифференциации</v>
      </c>
      <c r="J26" s="1805" t="str">
        <f>IF(J24="","",INDEX(DIFFERENTIATION_UNMERGE_AREA,MATCH(J24,DIFFERENTIATION_ID_DIFF,0)))</f>
        <v>без дифференциации</v>
      </c>
      <c r="K26" s="1805" t="str">
        <f>IF(K24="","",INDEX(DIFFERENTIATION_UNMERGE_AREA,MATCH(K24,DIFFERENTIATION_ID_DIFF,0)))</f>
        <v/>
      </c>
    </row>
    <row r="27" spans="1:27" ht="11.25" customHeight="1">
      <c r="E27" s="626"/>
      <c r="F27" s="2164" t="s">
        <v>417</v>
      </c>
      <c r="G27" s="2165"/>
      <c r="H27" s="1569" t="str">
        <f>IF(H24="","",INDEX(DIFFERENTIATION_UNMERGE_SYSTEM,MATCH(H24,DIFFERENTIATION_ID_DIFF,0)))</f>
        <v/>
      </c>
      <c r="I27" s="1569" t="str">
        <f>IF(I24="","",INDEX(DIFFERENTIATION_UNMERGE_SYSTEM,MATCH(I24,DIFFERENTIATION_ID_DIFF,0)))</f>
        <v>Тереховский водозабор</v>
      </c>
      <c r="J27" s="1805" t="str">
        <f>IF(J24="","",INDEX(DIFFERENTIATION_UNMERGE_SYSTEM,MATCH(J24,DIFFERENTIATION_ID_DIFF,0)))</f>
        <v>Площадка цем/завода</v>
      </c>
      <c r="K27" s="1805" t="str">
        <f>IF(K24="","",INDEX(DIFFERENTIATION_UNMERGE_SYSTEM,MATCH(K24,DIFFERENTIATION_ID_DIFF,0)))</f>
        <v/>
      </c>
    </row>
    <row r="28" spans="1:27" ht="11.25" customHeight="1">
      <c r="E28" s="2166" t="s">
        <v>291</v>
      </c>
      <c r="F28" s="2167"/>
      <c r="G28" s="2167"/>
      <c r="H28" s="1562"/>
      <c r="I28" s="1562"/>
      <c r="J28" s="1801"/>
      <c r="K28" s="1801"/>
    </row>
    <row r="29" spans="1:27" ht="22.5" customHeight="1">
      <c r="E29" s="1563" t="s">
        <v>88</v>
      </c>
      <c r="F29" s="1570" t="s">
        <v>293</v>
      </c>
      <c r="G29" s="1570" t="s">
        <v>1614</v>
      </c>
      <c r="H29" s="1570" t="s">
        <v>294</v>
      </c>
      <c r="I29" s="1570" t="s">
        <v>294</v>
      </c>
      <c r="J29" s="1791" t="s">
        <v>294</v>
      </c>
      <c r="K29" s="1791" t="s">
        <v>294</v>
      </c>
    </row>
    <row r="30" spans="1:27" ht="18.75" customHeight="1">
      <c r="D30" s="1555"/>
      <c r="E30" s="470">
        <f>FHD_NUM_P_1</f>
        <v>1</v>
      </c>
      <c r="F30" s="622" t="str">
        <f>FHD_P_1</f>
        <v>Выручка от регулируемых видов деятельности в сфере холодного водоснабжения</v>
      </c>
      <c r="G30" s="1563" t="s">
        <v>1717</v>
      </c>
      <c r="H30" s="479"/>
      <c r="I30" s="479"/>
      <c r="J30" s="479"/>
      <c r="K30" s="479"/>
      <c r="L30" s="467"/>
    </row>
    <row r="31" spans="1:27" ht="11.25" customHeight="1">
      <c r="D31" s="1555"/>
      <c r="E31" s="470">
        <f>FHD_NUM_P_2</f>
        <v>2</v>
      </c>
      <c r="F31" s="622" t="str">
        <f>FHD_P_2</f>
        <v>Себестоимость производимых товаров (оказываемых услуг) по регулируемым видам деятельности в сфере холодного водоснабжения, включая:</v>
      </c>
      <c r="G31" s="1563" t="s">
        <v>1717</v>
      </c>
      <c r="H31" s="480">
        <f>SUMIF($L33:$L71,$L31,H33:H71)</f>
        <v>0</v>
      </c>
      <c r="I31" s="480">
        <f>SUMIF($L33:$L71,$L31,I33:I71)</f>
        <v>0</v>
      </c>
      <c r="J31" s="480">
        <f>SUMIF($L33:$L71,$L31,J33:J71)</f>
        <v>0</v>
      </c>
      <c r="K31" s="480">
        <f>SUMIF($L33:$L71,$L31,K33:K71)</f>
        <v>0</v>
      </c>
      <c r="L31" s="1553" t="s">
        <v>1722</v>
      </c>
    </row>
    <row r="32" spans="1:27" ht="11.25" customHeight="1">
      <c r="D32" s="1555"/>
      <c r="E32" s="470" t="str">
        <f>FHD_NUM_P_3</f>
        <v>2.1</v>
      </c>
      <c r="F32" s="866" t="str">
        <f>FHD_P_3</f>
        <v>Расходы на оплату холодной воды, приобретаемой у других организаций для последующей подачи потребителям</v>
      </c>
      <c r="G32" s="1563" t="s">
        <v>1717</v>
      </c>
      <c r="H32" s="479"/>
      <c r="I32" s="479"/>
      <c r="J32" s="479"/>
      <c r="K32" s="479"/>
      <c r="L32" s="1553" t="str">
        <f t="shared" ref="L32:L70" si="0">IF((LEN(E32)-LEN(SUBSTITUTE(E32,".","")))/LEN(".")=1,"p","")</f>
        <v>p</v>
      </c>
    </row>
    <row r="33" spans="1:32" ht="11.25" hidden="1" customHeight="1">
      <c r="A33" s="2192" t="s">
        <v>1723</v>
      </c>
      <c r="D33" s="1555"/>
      <c r="E33" s="470" t="str">
        <f>FHD_NUM_P_4</f>
        <v/>
      </c>
      <c r="F33" s="866" t="str">
        <f>FHD_P_4</f>
        <v/>
      </c>
      <c r="G33" s="1563" t="s">
        <v>1717</v>
      </c>
      <c r="H33" s="480">
        <f>SUMIF($F34:$F40,$F3,H34:H40)</f>
        <v>0</v>
      </c>
      <c r="I33" s="480">
        <f>SUMIF($F34:$F40,$F3,I34:I40)</f>
        <v>0</v>
      </c>
      <c r="J33" s="480">
        <f>SUMIF($F34:$F40,$F3,J34:J40)</f>
        <v>0</v>
      </c>
      <c r="K33" s="480">
        <f>SUMIF($F34:$F40,$F3,K34:K40)</f>
        <v>0</v>
      </c>
      <c r="L33" s="1553" t="str">
        <f t="shared" si="0"/>
        <v/>
      </c>
    </row>
    <row r="34" spans="1:32" s="1558" customFormat="1" ht="0.75" hidden="1" customHeight="1">
      <c r="A34" s="2192"/>
      <c r="B34" s="2193" t="str">
        <f>E33&amp;".0"</f>
        <v>.0</v>
      </c>
      <c r="C34" s="1069"/>
      <c r="D34" s="482"/>
      <c r="E34" s="483"/>
      <c r="F34" s="484"/>
      <c r="G34" s="485"/>
      <c r="H34" s="423"/>
      <c r="I34" s="423"/>
      <c r="J34" s="423"/>
      <c r="K34" s="423"/>
      <c r="L34" s="1553" t="str">
        <f t="shared" si="0"/>
        <v/>
      </c>
      <c r="M34" s="1553"/>
      <c r="N34" s="1553"/>
      <c r="O34" s="1553"/>
      <c r="P34" s="1553"/>
      <c r="Q34" s="1553"/>
      <c r="R34" s="1553"/>
      <c r="S34" s="1553"/>
      <c r="T34" s="1553"/>
      <c r="U34" s="1553"/>
      <c r="V34" s="486"/>
      <c r="W34" s="1553"/>
      <c r="X34" s="1553"/>
      <c r="Y34" s="1553"/>
      <c r="Z34" s="1553"/>
      <c r="AA34" s="1553"/>
      <c r="AB34" s="487"/>
      <c r="AC34" s="487"/>
      <c r="AD34" s="487"/>
      <c r="AE34" s="487"/>
      <c r="AF34" s="487"/>
    </row>
    <row r="35" spans="1:32" s="1558" customFormat="1" ht="0.75" hidden="1" customHeight="1">
      <c r="A35" s="2192"/>
      <c r="B35" s="2193"/>
      <c r="C35" s="1069"/>
      <c r="D35" s="482"/>
      <c r="E35" s="488"/>
      <c r="F35" s="489"/>
      <c r="G35" s="485"/>
      <c r="H35" s="490"/>
      <c r="I35" s="490"/>
      <c r="J35" s="490"/>
      <c r="K35" s="490"/>
      <c r="L35" s="1553" t="str">
        <f t="shared" si="0"/>
        <v/>
      </c>
      <c r="M35" s="1553"/>
      <c r="N35" s="1553"/>
      <c r="O35" s="1553"/>
      <c r="P35" s="1553"/>
      <c r="Q35" s="1553"/>
      <c r="R35" s="1553"/>
      <c r="S35" s="1553"/>
      <c r="T35" s="1553"/>
      <c r="U35" s="1553"/>
      <c r="V35" s="486"/>
      <c r="W35" s="1553"/>
      <c r="X35" s="1553"/>
      <c r="Y35" s="1553"/>
      <c r="Z35" s="1553"/>
      <c r="AA35" s="1553"/>
      <c r="AB35" s="487"/>
      <c r="AC35" s="487"/>
      <c r="AD35" s="487"/>
      <c r="AE35" s="487"/>
      <c r="AF35" s="487"/>
    </row>
    <row r="36" spans="1:32" s="1558" customFormat="1" ht="0.75" hidden="1" customHeight="1">
      <c r="A36" s="2192"/>
      <c r="B36" s="2193"/>
      <c r="C36" s="1069"/>
      <c r="D36" s="482"/>
      <c r="E36" s="488"/>
      <c r="F36" s="489"/>
      <c r="G36" s="485"/>
      <c r="H36" s="490"/>
      <c r="I36" s="490"/>
      <c r="J36" s="490"/>
      <c r="K36" s="490"/>
      <c r="L36" s="1553" t="str">
        <f t="shared" si="0"/>
        <v/>
      </c>
      <c r="M36" s="1553"/>
      <c r="N36" s="1553"/>
      <c r="O36" s="1553"/>
      <c r="P36" s="1553"/>
      <c r="Q36" s="1553"/>
      <c r="R36" s="1553"/>
      <c r="S36" s="1553"/>
      <c r="T36" s="1553"/>
      <c r="U36" s="1553"/>
      <c r="V36" s="486"/>
      <c r="W36" s="1553"/>
      <c r="X36" s="1553"/>
      <c r="Y36" s="1553"/>
      <c r="Z36" s="1553"/>
      <c r="AA36" s="1553"/>
      <c r="AB36" s="487"/>
      <c r="AC36" s="487"/>
      <c r="AD36" s="487"/>
      <c r="AE36" s="487"/>
      <c r="AF36" s="487"/>
    </row>
    <row r="37" spans="1:32" s="1558" customFormat="1" ht="0.75" hidden="1" customHeight="1">
      <c r="A37" s="2192"/>
      <c r="B37" s="2193"/>
      <c r="C37" s="1069"/>
      <c r="D37" s="482"/>
      <c r="E37" s="488"/>
      <c r="F37" s="489"/>
      <c r="G37" s="485"/>
      <c r="H37" s="490"/>
      <c r="I37" s="490"/>
      <c r="J37" s="490"/>
      <c r="K37" s="490"/>
      <c r="L37" s="1553" t="str">
        <f t="shared" si="0"/>
        <v/>
      </c>
      <c r="M37" s="1553"/>
      <c r="N37" s="1553"/>
      <c r="O37" s="1553"/>
      <c r="P37" s="1553"/>
      <c r="Q37" s="1553"/>
      <c r="R37" s="1553"/>
      <c r="S37" s="1553"/>
      <c r="T37" s="1553"/>
      <c r="U37" s="1553"/>
      <c r="V37" s="486"/>
      <c r="W37" s="1553"/>
      <c r="X37" s="1553"/>
      <c r="Y37" s="1553"/>
      <c r="Z37" s="1553"/>
      <c r="AA37" s="1553"/>
      <c r="AB37" s="487"/>
      <c r="AC37" s="487"/>
      <c r="AD37" s="487"/>
      <c r="AE37" s="487"/>
      <c r="AF37" s="487"/>
    </row>
    <row r="38" spans="1:32" s="1558" customFormat="1" ht="0.75" hidden="1" customHeight="1">
      <c r="A38" s="2192"/>
      <c r="B38" s="2193"/>
      <c r="C38" s="1069"/>
      <c r="D38" s="482"/>
      <c r="E38" s="488"/>
      <c r="F38" s="489"/>
      <c r="G38" s="485"/>
      <c r="H38" s="490"/>
      <c r="I38" s="490"/>
      <c r="J38" s="490"/>
      <c r="K38" s="490"/>
      <c r="L38" s="1553" t="str">
        <f t="shared" si="0"/>
        <v/>
      </c>
      <c r="M38" s="1553"/>
      <c r="N38" s="1553"/>
      <c r="O38" s="1553"/>
      <c r="P38" s="1553"/>
      <c r="Q38" s="1553"/>
      <c r="R38" s="1553"/>
      <c r="S38" s="1553"/>
      <c r="T38" s="1553"/>
      <c r="U38" s="1553"/>
      <c r="V38" s="486"/>
      <c r="W38" s="1553"/>
      <c r="X38" s="1553"/>
      <c r="Y38" s="1553"/>
      <c r="Z38" s="1553"/>
      <c r="AA38" s="1553"/>
      <c r="AB38" s="487"/>
      <c r="AC38" s="487"/>
      <c r="AD38" s="487"/>
      <c r="AE38" s="487"/>
      <c r="AF38" s="487"/>
    </row>
    <row r="39" spans="1:32" s="1558" customFormat="1" ht="0.75" hidden="1" customHeight="1">
      <c r="A39" s="2192"/>
      <c r="B39" s="2193"/>
      <c r="C39" s="1069"/>
      <c r="D39" s="482"/>
      <c r="E39" s="488"/>
      <c r="F39" s="489"/>
      <c r="G39" s="485"/>
      <c r="H39" s="423"/>
      <c r="I39" s="423"/>
      <c r="J39" s="423"/>
      <c r="K39" s="423"/>
      <c r="L39" s="1553" t="str">
        <f t="shared" si="0"/>
        <v/>
      </c>
      <c r="M39" s="1553"/>
      <c r="N39" s="1553"/>
      <c r="O39" s="1553"/>
      <c r="P39" s="1553"/>
      <c r="Q39" s="1553"/>
      <c r="R39" s="1553"/>
      <c r="S39" s="1553"/>
      <c r="T39" s="1553"/>
      <c r="U39" s="1553"/>
      <c r="V39" s="486"/>
      <c r="W39" s="1553"/>
      <c r="X39" s="1553"/>
      <c r="Y39" s="1553"/>
      <c r="Z39" s="1553"/>
      <c r="AA39" s="1553"/>
      <c r="AB39" s="487"/>
      <c r="AC39" s="487"/>
      <c r="AD39" s="487"/>
      <c r="AE39" s="487"/>
      <c r="AF39" s="487"/>
    </row>
    <row r="40" spans="1:32" s="1284" customFormat="1" ht="15" hidden="1" customHeight="1">
      <c r="A40" s="2192"/>
      <c r="C40" s="1553"/>
      <c r="D40" s="1550"/>
      <c r="E40" s="491"/>
      <c r="F40" s="492" t="s">
        <v>1724</v>
      </c>
      <c r="G40" s="493"/>
      <c r="H40" s="494"/>
      <c r="I40" s="494"/>
      <c r="J40" s="1819"/>
      <c r="K40" s="1820"/>
      <c r="L40" s="1553" t="str">
        <f t="shared" si="0"/>
        <v/>
      </c>
      <c r="M40" s="1553"/>
      <c r="N40" s="1553"/>
      <c r="S40" s="1553"/>
      <c r="V40" s="468"/>
      <c r="AB40" s="1549"/>
      <c r="AC40" s="1549"/>
      <c r="AD40" s="1549"/>
      <c r="AE40" s="1549"/>
      <c r="AF40" s="1549"/>
    </row>
    <row r="41" spans="1:32" ht="11.25" hidden="1" customHeight="1">
      <c r="A41" s="2192" t="s">
        <v>1725</v>
      </c>
      <c r="D41" s="1555"/>
      <c r="E41" s="470" t="str">
        <f>FHD_NUM_P_5</f>
        <v/>
      </c>
      <c r="F41" s="866" t="str">
        <f>FHD_P_5</f>
        <v/>
      </c>
      <c r="G41" s="1563" t="s">
        <v>1717</v>
      </c>
      <c r="H41" s="479"/>
      <c r="I41" s="479"/>
      <c r="J41" s="479"/>
      <c r="K41" s="479"/>
      <c r="L41" s="1553" t="str">
        <f t="shared" si="0"/>
        <v/>
      </c>
    </row>
    <row r="42" spans="1:32" ht="11.25" hidden="1" customHeight="1">
      <c r="A42" s="2192"/>
      <c r="D42" s="1555"/>
      <c r="E42" s="470" t="str">
        <f>FHD_NUM_P_6</f>
        <v/>
      </c>
      <c r="F42" s="866" t="str">
        <f>FHD_P_6</f>
        <v/>
      </c>
      <c r="G42" s="1563" t="s">
        <v>1717</v>
      </c>
      <c r="H42" s="479"/>
      <c r="I42" s="479"/>
      <c r="J42" s="479"/>
      <c r="K42" s="479"/>
      <c r="L42" s="1553" t="str">
        <f t="shared" si="0"/>
        <v/>
      </c>
    </row>
    <row r="43" spans="1:32" ht="11.25" hidden="1" customHeight="1">
      <c r="A43" s="2192"/>
      <c r="D43" s="1555"/>
      <c r="E43" s="470" t="str">
        <f>FHD_NUM_P_7</f>
        <v/>
      </c>
      <c r="F43" s="866" t="str">
        <f>FHD_P_7</f>
        <v/>
      </c>
      <c r="G43" s="1563" t="s">
        <v>1717</v>
      </c>
      <c r="H43" s="479"/>
      <c r="I43" s="479"/>
      <c r="J43" s="479"/>
      <c r="K43" s="479"/>
      <c r="L43" s="1553" t="str">
        <f t="shared" si="0"/>
        <v/>
      </c>
    </row>
    <row r="44" spans="1:32" ht="11.25" customHeight="1">
      <c r="D44" s="1555"/>
      <c r="E44" s="470" t="str">
        <f>FHD_NUM_P_8</f>
        <v>2.2</v>
      </c>
      <c r="F44" s="866" t="str">
        <f>FHD_P_8</f>
        <v>Расходы на приобретаемую электрическую энергию (мощность), используемую в технологическом процессе</v>
      </c>
      <c r="G44" s="1563" t="s">
        <v>1717</v>
      </c>
      <c r="H44" s="479"/>
      <c r="I44" s="479"/>
      <c r="J44" s="479"/>
      <c r="K44" s="479"/>
      <c r="L44" s="1553" t="str">
        <f t="shared" si="0"/>
        <v>p</v>
      </c>
    </row>
    <row r="45" spans="1:32" ht="11.25" customHeight="1">
      <c r="D45" s="1555"/>
      <c r="E45" s="470" t="str">
        <f>FHD_NUM_P_9</f>
        <v>2.2.1</v>
      </c>
      <c r="F45" s="1567" t="str">
        <f>FHD_P_9</f>
        <v>Средневзвешенная стоимость 1 кВт.ч (с учетом мощности)</v>
      </c>
      <c r="G45" s="1563" t="s">
        <v>1243</v>
      </c>
      <c r="H45" s="479"/>
      <c r="I45" s="479"/>
      <c r="J45" s="479"/>
      <c r="K45" s="479"/>
      <c r="L45" s="1553" t="str">
        <f t="shared" si="0"/>
        <v/>
      </c>
    </row>
    <row r="46" spans="1:32" s="1284" customFormat="1" ht="11.25" customHeight="1">
      <c r="A46" s="899"/>
      <c r="C46" s="1553"/>
      <c r="D46" s="495"/>
      <c r="E46" s="470" t="str">
        <f>FHD_NUM_P_10</f>
        <v>2.2.2</v>
      </c>
      <c r="F46" s="1567" t="str">
        <f>FHD_P_10</f>
        <v>Объём приобретения электрической энергии</v>
      </c>
      <c r="G46" s="1563" t="s">
        <v>1726</v>
      </c>
      <c r="H46" s="479"/>
      <c r="I46" s="479"/>
      <c r="J46" s="479"/>
      <c r="K46" s="479"/>
      <c r="L46" s="1553" t="str">
        <f t="shared" si="0"/>
        <v/>
      </c>
      <c r="M46" s="1553"/>
      <c r="N46" s="1553"/>
      <c r="S46" s="1553"/>
      <c r="V46" s="468"/>
      <c r="AB46" s="1549"/>
      <c r="AC46" s="1549"/>
      <c r="AD46" s="1549"/>
      <c r="AE46" s="1549"/>
      <c r="AF46" s="1549"/>
    </row>
    <row r="47" spans="1:32" s="1284" customFormat="1" ht="11.25" hidden="1" customHeight="1">
      <c r="A47" s="901" t="s">
        <v>1727</v>
      </c>
      <c r="C47" s="1553"/>
      <c r="D47" s="496"/>
      <c r="E47" s="470" t="str">
        <f>FHD_NUM_P_11</f>
        <v/>
      </c>
      <c r="F47" s="866" t="str">
        <f>FHD_P_11</f>
        <v/>
      </c>
      <c r="G47" s="1563" t="s">
        <v>1717</v>
      </c>
      <c r="H47" s="479"/>
      <c r="I47" s="479"/>
      <c r="J47" s="479"/>
      <c r="K47" s="479"/>
      <c r="L47" s="1553" t="str">
        <f t="shared" si="0"/>
        <v/>
      </c>
      <c r="M47" s="1553"/>
      <c r="N47" s="1553"/>
      <c r="S47" s="1553"/>
      <c r="V47" s="468"/>
      <c r="AB47" s="1549"/>
      <c r="AC47" s="1549"/>
      <c r="AD47" s="1549"/>
      <c r="AE47" s="1549"/>
      <c r="AF47" s="1549"/>
    </row>
    <row r="48" spans="1:32" s="1284" customFormat="1" ht="18" customHeight="1">
      <c r="A48" s="901" t="s">
        <v>1728</v>
      </c>
      <c r="C48" s="1553"/>
      <c r="D48" s="1555"/>
      <c r="E48" s="470" t="str">
        <f>FHD_NUM_P_12</f>
        <v>2.3</v>
      </c>
      <c r="F48" s="866" t="str">
        <f>FHD_P_12</f>
        <v>Расходы на химические реагенты, используемые в технологическом процессе</v>
      </c>
      <c r="G48" s="1563" t="s">
        <v>1717</v>
      </c>
      <c r="H48" s="498"/>
      <c r="I48" s="498"/>
      <c r="J48" s="498"/>
      <c r="K48" s="498"/>
      <c r="L48" s="1553" t="str">
        <f t="shared" si="0"/>
        <v>p</v>
      </c>
      <c r="M48" s="1553"/>
      <c r="N48" s="1553"/>
      <c r="S48" s="1553"/>
      <c r="V48" s="468"/>
      <c r="AB48" s="1549"/>
      <c r="AC48" s="1549"/>
      <c r="AD48" s="1549"/>
      <c r="AE48" s="1549"/>
      <c r="AF48" s="1549"/>
    </row>
    <row r="49" spans="1:32" s="1283" customFormat="1" ht="11.25" customHeight="1">
      <c r="A49" s="900"/>
      <c r="C49" s="646"/>
      <c r="D49" s="589"/>
      <c r="E49" s="470" t="str">
        <f>FHD_NUM_P_13</f>
        <v>2.4</v>
      </c>
      <c r="F49" s="866" t="str">
        <f>FHD_P_13</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G49" s="1563" t="s">
        <v>1717</v>
      </c>
      <c r="H49" s="479"/>
      <c r="I49" s="479"/>
      <c r="J49" s="479"/>
      <c r="K49" s="479"/>
      <c r="L49" s="1553" t="str">
        <f t="shared" si="0"/>
        <v>p</v>
      </c>
      <c r="M49" s="646"/>
      <c r="N49" s="646"/>
      <c r="S49" s="646"/>
      <c r="V49" s="647"/>
      <c r="AB49" s="648"/>
      <c r="AC49" s="648"/>
      <c r="AD49" s="648"/>
      <c r="AE49" s="648"/>
      <c r="AF49" s="648"/>
    </row>
    <row r="50" spans="1:32" s="1283" customFormat="1" ht="11.25" customHeight="1">
      <c r="A50" s="900"/>
      <c r="C50" s="646"/>
      <c r="D50" s="589"/>
      <c r="E50" s="470" t="str">
        <f>FHD_NUM_P_14</f>
        <v>2.4.1</v>
      </c>
      <c r="F50" s="1567" t="str">
        <f>FHD_P_14</f>
        <v>Расходы на оплату труда основного производственного персонала</v>
      </c>
      <c r="G50" s="1563" t="s">
        <v>1717</v>
      </c>
      <c r="H50" s="479"/>
      <c r="I50" s="479"/>
      <c r="J50" s="479"/>
      <c r="K50" s="479"/>
      <c r="L50" s="1553" t="str">
        <f t="shared" si="0"/>
        <v/>
      </c>
      <c r="M50" s="646"/>
      <c r="N50" s="646"/>
      <c r="S50" s="646"/>
      <c r="V50" s="647"/>
      <c r="AB50" s="648"/>
      <c r="AC50" s="648"/>
      <c r="AD50" s="648"/>
      <c r="AE50" s="648"/>
      <c r="AF50" s="648"/>
    </row>
    <row r="51" spans="1:32" s="1283" customFormat="1" ht="11.25" customHeight="1">
      <c r="A51" s="900"/>
      <c r="C51" s="646"/>
      <c r="D51" s="589"/>
      <c r="E51" s="470" t="str">
        <f>FHD_NUM_P_15</f>
        <v>2.4.2</v>
      </c>
      <c r="F51" s="1567" t="str">
        <f>FHD_P_15</f>
        <v>Страховые взносы на обязательное социальное страхование, выплачиваемые из фонда оплаты труда основного производственного персонала</v>
      </c>
      <c r="G51" s="1563" t="s">
        <v>1717</v>
      </c>
      <c r="H51" s="479"/>
      <c r="I51" s="479"/>
      <c r="J51" s="479"/>
      <c r="K51" s="479"/>
      <c r="L51" s="1553" t="str">
        <f t="shared" si="0"/>
        <v/>
      </c>
      <c r="M51" s="646"/>
      <c r="N51" s="646"/>
      <c r="S51" s="646"/>
      <c r="V51" s="647"/>
      <c r="AB51" s="648"/>
      <c r="AC51" s="648"/>
      <c r="AD51" s="648"/>
      <c r="AE51" s="648"/>
      <c r="AF51" s="648"/>
    </row>
    <row r="52" spans="1:32" s="1284" customFormat="1" ht="11.25" customHeight="1">
      <c r="A52" s="899"/>
      <c r="C52" s="1553"/>
      <c r="D52" s="1555"/>
      <c r="E52" s="470" t="str">
        <f>FHD_NUM_P_16</f>
        <v>2.5</v>
      </c>
      <c r="F52" s="866" t="str">
        <f>FHD_P_16</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G52" s="1563" t="s">
        <v>1717</v>
      </c>
      <c r="H52" s="479"/>
      <c r="I52" s="479"/>
      <c r="J52" s="479"/>
      <c r="K52" s="479"/>
      <c r="L52" s="1553" t="str">
        <f t="shared" si="0"/>
        <v>p</v>
      </c>
      <c r="M52" s="1553"/>
      <c r="N52" s="1559"/>
      <c r="O52" s="462"/>
      <c r="P52" s="462"/>
      <c r="S52" s="1553"/>
      <c r="V52" s="468"/>
      <c r="AB52" s="1549"/>
      <c r="AC52" s="1549"/>
      <c r="AD52" s="1549"/>
      <c r="AE52" s="1549"/>
      <c r="AF52" s="1549"/>
    </row>
    <row r="53" spans="1:32" s="1284" customFormat="1" ht="11.25" customHeight="1">
      <c r="A53" s="899"/>
      <c r="C53" s="1553"/>
      <c r="D53" s="1555"/>
      <c r="E53" s="470" t="str">
        <f>FHD_NUM_P_17</f>
        <v>2.5.1</v>
      </c>
      <c r="F53" s="1567" t="str">
        <f>FHD_P_17</f>
        <v>Расходы на оплату труда административно-управленческого персонала</v>
      </c>
      <c r="G53" s="1563" t="s">
        <v>1717</v>
      </c>
      <c r="H53" s="479"/>
      <c r="I53" s="479"/>
      <c r="J53" s="479"/>
      <c r="K53" s="479"/>
      <c r="L53" s="1553" t="str">
        <f t="shared" si="0"/>
        <v/>
      </c>
      <c r="M53" s="1553"/>
      <c r="N53" s="1559"/>
      <c r="O53" s="462"/>
      <c r="P53" s="462"/>
      <c r="S53" s="1553"/>
      <c r="V53" s="468"/>
      <c r="AB53" s="1549"/>
      <c r="AC53" s="1549"/>
      <c r="AD53" s="1549"/>
      <c r="AE53" s="1549"/>
      <c r="AF53" s="1549"/>
    </row>
    <row r="54" spans="1:32" s="1284" customFormat="1" ht="11.25" customHeight="1">
      <c r="A54" s="899"/>
      <c r="C54" s="1553"/>
      <c r="D54" s="1555"/>
      <c r="E54" s="470" t="str">
        <f>FHD_NUM_P_18</f>
        <v>2.5.2</v>
      </c>
      <c r="F54" s="1567" t="str">
        <f>FHD_P_18</f>
        <v>Страховые взносы на обязательное социальное страхование, выплачиваемые из фонда оплаты труда административно-управленческого персонала</v>
      </c>
      <c r="G54" s="1563" t="s">
        <v>1717</v>
      </c>
      <c r="H54" s="479"/>
      <c r="I54" s="479"/>
      <c r="J54" s="479"/>
      <c r="K54" s="479"/>
      <c r="L54" s="1553" t="str">
        <f t="shared" si="0"/>
        <v/>
      </c>
      <c r="M54" s="1553"/>
      <c r="N54" s="1559"/>
      <c r="O54" s="462"/>
      <c r="P54" s="462"/>
      <c r="S54" s="1553"/>
      <c r="V54" s="468"/>
      <c r="AB54" s="1549"/>
      <c r="AC54" s="1549"/>
      <c r="AD54" s="1549"/>
      <c r="AE54" s="1549"/>
      <c r="AF54" s="1549"/>
    </row>
    <row r="55" spans="1:32" s="1284" customFormat="1" ht="11.25" customHeight="1">
      <c r="A55" s="899"/>
      <c r="C55" s="1553"/>
      <c r="D55" s="496"/>
      <c r="E55" s="470" t="str">
        <f>FHD_NUM_P_19</f>
        <v>2.6</v>
      </c>
      <c r="F55" s="866" t="str">
        <f>FHD_P_19</f>
        <v>Расходы на амортизацию основных средств и нематериальных активов</v>
      </c>
      <c r="G55" s="1563" t="s">
        <v>1717</v>
      </c>
      <c r="H55" s="479"/>
      <c r="I55" s="479"/>
      <c r="J55" s="479"/>
      <c r="K55" s="479"/>
      <c r="L55" s="1553" t="str">
        <f t="shared" si="0"/>
        <v>p</v>
      </c>
      <c r="M55" s="1553"/>
      <c r="N55" s="1553"/>
      <c r="S55" s="1553"/>
      <c r="V55" s="468"/>
      <c r="AB55" s="1549"/>
      <c r="AC55" s="1549"/>
      <c r="AD55" s="1549"/>
      <c r="AE55" s="1549"/>
      <c r="AF55" s="1549"/>
    </row>
    <row r="56" spans="1:32" s="1284" customFormat="1" ht="11.25" customHeight="1">
      <c r="A56" s="899"/>
      <c r="C56" s="1553"/>
      <c r="D56" s="496"/>
      <c r="E56" s="470" t="str">
        <f>FHD_NUM_P_20</f>
        <v>2.6.1</v>
      </c>
      <c r="F56" s="1567" t="str">
        <f>FHD_P_20</f>
        <v>Расходы на амортизацию основных средств</v>
      </c>
      <c r="G56" s="1563" t="s">
        <v>1717</v>
      </c>
      <c r="H56" s="479"/>
      <c r="I56" s="479"/>
      <c r="J56" s="479"/>
      <c r="K56" s="479"/>
      <c r="L56" s="1553" t="str">
        <f t="shared" si="0"/>
        <v/>
      </c>
      <c r="M56" s="1553"/>
      <c r="N56" s="1553"/>
      <c r="S56" s="1553"/>
      <c r="V56" s="468"/>
      <c r="AB56" s="1549"/>
      <c r="AC56" s="1549"/>
      <c r="AD56" s="1549"/>
      <c r="AE56" s="1549"/>
      <c r="AF56" s="1549"/>
    </row>
    <row r="57" spans="1:32" s="1284" customFormat="1" ht="11.25" customHeight="1">
      <c r="A57" s="899"/>
      <c r="C57" s="1553"/>
      <c r="D57" s="496"/>
      <c r="E57" s="470" t="str">
        <f>FHD_NUM_P_21</f>
        <v>2.6.2</v>
      </c>
      <c r="F57" s="1567" t="str">
        <f>FHD_P_21</f>
        <v>Расходы на амортизацию нематериальных активов</v>
      </c>
      <c r="G57" s="1563" t="s">
        <v>1717</v>
      </c>
      <c r="H57" s="479"/>
      <c r="I57" s="479"/>
      <c r="J57" s="479"/>
      <c r="K57" s="479"/>
      <c r="L57" s="1553" t="str">
        <f t="shared" si="0"/>
        <v/>
      </c>
      <c r="M57" s="1553"/>
      <c r="N57" s="1553"/>
      <c r="S57" s="1553"/>
      <c r="V57" s="468"/>
      <c r="AB57" s="1549"/>
      <c r="AC57" s="1549"/>
      <c r="AD57" s="1549"/>
      <c r="AE57" s="1549"/>
      <c r="AF57" s="1549"/>
    </row>
    <row r="58" spans="1:32" s="1284" customFormat="1" ht="11.25" customHeight="1">
      <c r="A58" s="899"/>
      <c r="C58" s="1553"/>
      <c r="D58" s="1555"/>
      <c r="E58" s="470" t="str">
        <f>FHD_NUM_P_22</f>
        <v>2.7</v>
      </c>
      <c r="F58" s="866" t="str">
        <f>FHD_P_22</f>
        <v>Расходы на аренду имущества, используемого для осуществления регулируемых видов деятельности в сфере холодного водоснабжения</v>
      </c>
      <c r="G58" s="1563" t="s">
        <v>1717</v>
      </c>
      <c r="H58" s="479"/>
      <c r="I58" s="479"/>
      <c r="J58" s="479"/>
      <c r="K58" s="479"/>
      <c r="L58" s="1553" t="str">
        <f t="shared" si="0"/>
        <v>p</v>
      </c>
      <c r="M58" s="1553"/>
      <c r="N58" s="1553"/>
      <c r="S58" s="1553"/>
      <c r="V58" s="468"/>
      <c r="AB58" s="1549"/>
      <c r="AC58" s="1549"/>
      <c r="AD58" s="1549"/>
      <c r="AE58" s="1549"/>
      <c r="AF58" s="1549"/>
    </row>
    <row r="59" spans="1:32" s="1284" customFormat="1" ht="11.25" customHeight="1">
      <c r="A59" s="899"/>
      <c r="C59" s="1553"/>
      <c r="D59" s="496"/>
      <c r="E59" s="470" t="str">
        <f>FHD_NUM_P_23</f>
        <v>2.8</v>
      </c>
      <c r="F59" s="866" t="str">
        <f>FHD_P_23</f>
        <v>Общепроизводственные расходы, в том числе:</v>
      </c>
      <c r="G59" s="1563" t="s">
        <v>1717</v>
      </c>
      <c r="H59" s="479"/>
      <c r="I59" s="479"/>
      <c r="J59" s="479"/>
      <c r="K59" s="479"/>
      <c r="L59" s="1553" t="str">
        <f t="shared" si="0"/>
        <v>p</v>
      </c>
      <c r="M59" s="1553"/>
      <c r="N59" s="1553"/>
      <c r="S59" s="1553"/>
      <c r="V59" s="468"/>
      <c r="AB59" s="1549"/>
      <c r="AC59" s="1549"/>
      <c r="AD59" s="1549"/>
      <c r="AE59" s="1549"/>
      <c r="AF59" s="1549"/>
    </row>
    <row r="60" spans="1:32" s="1284" customFormat="1" ht="11.25" customHeight="1">
      <c r="A60" s="899"/>
      <c r="C60" s="1553"/>
      <c r="D60" s="496"/>
      <c r="E60" s="470" t="str">
        <f>FHD_NUM_P_24</f>
        <v>2.8.1</v>
      </c>
      <c r="F60" s="1567" t="str">
        <f>FHD_P_24</f>
        <v>Расходы на текущий ремонт</v>
      </c>
      <c r="G60" s="1563" t="s">
        <v>1717</v>
      </c>
      <c r="H60" s="479"/>
      <c r="I60" s="479"/>
      <c r="J60" s="479"/>
      <c r="K60" s="479"/>
      <c r="L60" s="1553" t="str">
        <f t="shared" si="0"/>
        <v/>
      </c>
      <c r="M60" s="1553"/>
      <c r="N60" s="1553"/>
      <c r="S60" s="1553"/>
      <c r="V60" s="468"/>
      <c r="AB60" s="1549"/>
      <c r="AC60" s="1549"/>
      <c r="AD60" s="1549"/>
      <c r="AE60" s="1549"/>
      <c r="AF60" s="1549"/>
    </row>
    <row r="61" spans="1:32" s="1284" customFormat="1" ht="11.25" customHeight="1">
      <c r="A61" s="899"/>
      <c r="C61" s="1553"/>
      <c r="D61" s="496"/>
      <c r="E61" s="470" t="str">
        <f>FHD_NUM_P_25</f>
        <v>2.8.2</v>
      </c>
      <c r="F61" s="1567" t="str">
        <f>FHD_P_25</f>
        <v>Расходы на капитальный ремонт</v>
      </c>
      <c r="G61" s="1563" t="s">
        <v>1717</v>
      </c>
      <c r="H61" s="479"/>
      <c r="I61" s="479"/>
      <c r="J61" s="479"/>
      <c r="K61" s="479"/>
      <c r="L61" s="1553" t="str">
        <f t="shared" si="0"/>
        <v/>
      </c>
      <c r="M61" s="1553"/>
      <c r="N61" s="1553"/>
      <c r="S61" s="1553"/>
      <c r="V61" s="468"/>
      <c r="AB61" s="1549"/>
      <c r="AC61" s="1549"/>
      <c r="AD61" s="1549"/>
      <c r="AE61" s="1549"/>
      <c r="AF61" s="1549"/>
    </row>
    <row r="62" spans="1:32" s="1284" customFormat="1" ht="11.25" customHeight="1">
      <c r="A62" s="899"/>
      <c r="C62" s="1553"/>
      <c r="D62" s="1555"/>
      <c r="E62" s="470" t="str">
        <f>FHD_NUM_P_26</f>
        <v>2.9</v>
      </c>
      <c r="F62" s="866" t="str">
        <f>FHD_P_26</f>
        <v>Общехозяйственные расходы, в том числе:</v>
      </c>
      <c r="G62" s="1563" t="s">
        <v>1717</v>
      </c>
      <c r="H62" s="479"/>
      <c r="I62" s="479"/>
      <c r="J62" s="479"/>
      <c r="K62" s="479"/>
      <c r="L62" s="1553" t="str">
        <f t="shared" si="0"/>
        <v>p</v>
      </c>
      <c r="M62" s="1553"/>
      <c r="N62" s="1553"/>
      <c r="S62" s="1553"/>
      <c r="V62" s="468"/>
      <c r="AB62" s="1549"/>
      <c r="AC62" s="1549"/>
      <c r="AD62" s="1549"/>
      <c r="AE62" s="1549"/>
      <c r="AF62" s="1549"/>
    </row>
    <row r="63" spans="1:32" s="1284" customFormat="1" ht="11.25" customHeight="1">
      <c r="A63" s="899"/>
      <c r="C63" s="1553"/>
      <c r="D63" s="1555"/>
      <c r="E63" s="470" t="str">
        <f>FHD_NUM_P_27</f>
        <v>2.9.1</v>
      </c>
      <c r="F63" s="1567" t="str">
        <f>FHD_P_27</f>
        <v>Расходы на текущий ремонт</v>
      </c>
      <c r="G63" s="1563" t="s">
        <v>1717</v>
      </c>
      <c r="H63" s="479"/>
      <c r="I63" s="479"/>
      <c r="J63" s="479"/>
      <c r="K63" s="479"/>
      <c r="L63" s="1553" t="str">
        <f t="shared" si="0"/>
        <v/>
      </c>
      <c r="M63" s="1553"/>
      <c r="N63" s="1553"/>
      <c r="S63" s="1553"/>
      <c r="V63" s="468"/>
      <c r="AB63" s="1549"/>
      <c r="AC63" s="1549"/>
      <c r="AD63" s="1549"/>
      <c r="AE63" s="1549"/>
      <c r="AF63" s="1549"/>
    </row>
    <row r="64" spans="1:32" s="1284" customFormat="1" ht="11.25" customHeight="1">
      <c r="A64" s="899"/>
      <c r="C64" s="1553"/>
      <c r="D64" s="1555"/>
      <c r="E64" s="470" t="str">
        <f>FHD_NUM_P_28</f>
        <v>2.9.2</v>
      </c>
      <c r="F64" s="1567" t="str">
        <f>FHD_P_28</f>
        <v>Расходы на капитальный ремонт</v>
      </c>
      <c r="G64" s="1563" t="s">
        <v>1717</v>
      </c>
      <c r="H64" s="479"/>
      <c r="I64" s="479"/>
      <c r="J64" s="479"/>
      <c r="K64" s="479"/>
      <c r="L64" s="1553" t="str">
        <f t="shared" si="0"/>
        <v/>
      </c>
      <c r="M64" s="1553"/>
      <c r="N64" s="1553"/>
      <c r="S64" s="1553"/>
      <c r="V64" s="468"/>
      <c r="AB64" s="1549"/>
      <c r="AC64" s="1549"/>
      <c r="AD64" s="1549"/>
      <c r="AE64" s="1549"/>
      <c r="AF64" s="1549"/>
    </row>
    <row r="65" spans="1:32" s="1284" customFormat="1" ht="11.25" customHeight="1">
      <c r="A65" s="899"/>
      <c r="C65" s="1553"/>
      <c r="D65" s="1555"/>
      <c r="E65" s="470" t="str">
        <f>FHD_NUM_P_29</f>
        <v>2.10</v>
      </c>
      <c r="F65" s="866" t="str">
        <f>FHD_P_29</f>
        <v>Расходы на капитальный и текущий ремонт основных средств</v>
      </c>
      <c r="G65" s="1563" t="s">
        <v>1717</v>
      </c>
      <c r="H65" s="479"/>
      <c r="I65" s="479"/>
      <c r="J65" s="479"/>
      <c r="K65" s="479"/>
      <c r="L65" s="1553" t="str">
        <f t="shared" si="0"/>
        <v>p</v>
      </c>
      <c r="M65" s="1553"/>
      <c r="N65" s="1553"/>
      <c r="S65" s="1553"/>
      <c r="V65" s="468"/>
      <c r="AB65" s="1549"/>
      <c r="AC65" s="1549"/>
      <c r="AD65" s="1549"/>
      <c r="AE65" s="1549"/>
      <c r="AF65" s="1549"/>
    </row>
    <row r="66" spans="1:32" s="1284" customFormat="1" ht="11.25" customHeight="1">
      <c r="A66" s="899"/>
      <c r="C66" s="1553"/>
      <c r="D66" s="1555"/>
      <c r="E66" s="470" t="str">
        <f>FHD_NUM_P_30</f>
        <v>2.10.1</v>
      </c>
      <c r="F66" s="1567" t="str">
        <f>FHD_P_30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G66" s="1563" t="s">
        <v>297</v>
      </c>
      <c r="H66" s="1566" t="s">
        <v>421</v>
      </c>
      <c r="I66" s="1566" t="s">
        <v>421</v>
      </c>
      <c r="J66" s="1793" t="s">
        <v>421</v>
      </c>
      <c r="K66" s="1793" t="s">
        <v>421</v>
      </c>
      <c r="L66" s="1553" t="str">
        <f t="shared" si="0"/>
        <v/>
      </c>
      <c r="M66" s="1553">
        <f>IFERROR(MATCH("есть",B_FHD_FLAG_INDEX_1,0),0)</f>
        <v>0</v>
      </c>
      <c r="N66" s="1553"/>
      <c r="S66" s="1553"/>
      <c r="V66" s="468"/>
      <c r="AB66" s="1549"/>
      <c r="AC66" s="1549"/>
      <c r="AD66" s="1549"/>
      <c r="AE66" s="1549"/>
      <c r="AF66" s="1549"/>
    </row>
    <row r="67" spans="1:32" s="1284" customFormat="1" ht="11.25" customHeight="1">
      <c r="A67" s="2192" t="s">
        <v>1729</v>
      </c>
      <c r="C67" s="1553"/>
      <c r="D67" s="1555"/>
      <c r="E67" s="470" t="str">
        <f>FHD_NUM_P_31</f>
        <v>2.11</v>
      </c>
      <c r="F67" s="866" t="str">
        <f>FHD_P_31</f>
        <v xml:space="preserve">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v>
      </c>
      <c r="G67" s="1563" t="s">
        <v>1717</v>
      </c>
      <c r="H67" s="479"/>
      <c r="I67" s="479"/>
      <c r="J67" s="479"/>
      <c r="K67" s="479"/>
      <c r="L67" s="1553" t="str">
        <f t="shared" si="0"/>
        <v>p</v>
      </c>
      <c r="M67" s="1553"/>
      <c r="N67" s="1553"/>
      <c r="S67" s="1553"/>
      <c r="V67" s="468"/>
      <c r="AB67" s="1549"/>
      <c r="AC67" s="1549"/>
      <c r="AD67" s="1549"/>
      <c r="AE67" s="1549"/>
      <c r="AF67" s="1549"/>
    </row>
    <row r="68" spans="1:32" s="1284" customFormat="1" ht="11.25" customHeight="1">
      <c r="A68" s="2192"/>
      <c r="C68" s="1553"/>
      <c r="D68" s="1555"/>
      <c r="E68" s="470" t="str">
        <f>FHD_NUM_P_32</f>
        <v>2.11.1</v>
      </c>
      <c r="F68" s="1567" t="str">
        <f>FHD_P_32</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G68" s="1563" t="s">
        <v>297</v>
      </c>
      <c r="H68" s="1566" t="s">
        <v>421</v>
      </c>
      <c r="I68" s="1566" t="s">
        <v>421</v>
      </c>
      <c r="J68" s="1793" t="s">
        <v>421</v>
      </c>
      <c r="K68" s="1793" t="s">
        <v>421</v>
      </c>
      <c r="L68" s="1553" t="str">
        <f t="shared" si="0"/>
        <v/>
      </c>
      <c r="M68" s="1553">
        <f>IFERROR(MATCH("есть",B_FHD_FLAG_INDEX_2,0),0)</f>
        <v>0</v>
      </c>
      <c r="N68" s="1553"/>
      <c r="S68" s="1553"/>
      <c r="V68" s="468"/>
      <c r="AB68" s="1549"/>
      <c r="AC68" s="1549"/>
      <c r="AD68" s="1549"/>
      <c r="AE68" s="1549"/>
      <c r="AF68" s="1549"/>
    </row>
    <row r="69" spans="1:32" s="1284" customFormat="1" ht="11.25" customHeight="1">
      <c r="A69" s="899"/>
      <c r="C69" s="1553"/>
      <c r="D69" s="1555"/>
      <c r="E69" s="470" t="str">
        <f>FHD_NUM_P_33</f>
        <v>2.12</v>
      </c>
      <c r="F69" s="866" t="str">
        <f>FHD_P_33</f>
        <v>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v>
      </c>
      <c r="G69" s="1561" t="s">
        <v>1717</v>
      </c>
      <c r="H69" s="500">
        <f>SUM(H70:H71)</f>
        <v>0</v>
      </c>
      <c r="I69" s="500">
        <f>SUM(I70:I71)</f>
        <v>0</v>
      </c>
      <c r="J69" s="500">
        <f>SUM(J70:J71)</f>
        <v>0</v>
      </c>
      <c r="K69" s="500">
        <f>SUM(K70:K71)</f>
        <v>0</v>
      </c>
      <c r="L69" s="1553" t="str">
        <f t="shared" si="0"/>
        <v>p</v>
      </c>
      <c r="M69" s="1553"/>
      <c r="N69" s="1553"/>
      <c r="S69" s="1553"/>
      <c r="V69" s="468"/>
      <c r="AB69" s="1549"/>
      <c r="AC69" s="1549"/>
      <c r="AD69" s="1549"/>
      <c r="AE69" s="1549"/>
      <c r="AF69" s="1549"/>
    </row>
    <row r="70" spans="1:32" s="1559" customFormat="1" ht="0.75" customHeight="1">
      <c r="A70" s="1069"/>
      <c r="D70" s="472"/>
      <c r="E70" s="715" t="str">
        <f>E69&amp;".0"</f>
        <v>2.12.0</v>
      </c>
      <c r="F70" s="903"/>
      <c r="G70" s="475"/>
      <c r="H70" s="904"/>
      <c r="I70" s="904"/>
      <c r="J70" s="904"/>
      <c r="K70" s="904"/>
      <c r="L70" s="1553" t="str">
        <f t="shared" si="0"/>
        <v/>
      </c>
    </row>
    <row r="71" spans="1:32" s="1284" customFormat="1" ht="14.25" customHeight="1">
      <c r="A71" s="899"/>
      <c r="C71" s="1553"/>
      <c r="D71" s="1550"/>
      <c r="E71" s="491"/>
      <c r="F71" s="492" t="s">
        <v>1730</v>
      </c>
      <c r="G71" s="493"/>
      <c r="H71" s="494"/>
      <c r="I71" s="494"/>
      <c r="J71" s="1821"/>
      <c r="K71" s="1822"/>
      <c r="L71" s="1553"/>
      <c r="M71" s="1553"/>
      <c r="N71" s="1553"/>
      <c r="S71" s="1553"/>
      <c r="V71" s="468"/>
      <c r="AB71" s="1549"/>
      <c r="AC71" s="1549"/>
      <c r="AD71" s="1549"/>
      <c r="AE71" s="1549"/>
      <c r="AF71" s="1549"/>
    </row>
    <row r="72" spans="1:32" s="1284" customFormat="1" ht="18.75" hidden="1" customHeight="1">
      <c r="A72" s="901" t="s">
        <v>1731</v>
      </c>
      <c r="C72" s="1553"/>
      <c r="D72" s="1555"/>
      <c r="E72" s="470" t="str">
        <f>FHD_NUM_P_34</f>
        <v/>
      </c>
      <c r="F72" s="622" t="str">
        <f>FHD_P_34</f>
        <v/>
      </c>
      <c r="G72" s="1563" t="s">
        <v>1717</v>
      </c>
      <c r="H72" s="479"/>
      <c r="I72" s="479"/>
      <c r="J72" s="479"/>
      <c r="K72" s="479"/>
      <c r="L72" s="467"/>
      <c r="M72" s="1553"/>
      <c r="N72" s="1553"/>
      <c r="S72" s="1553"/>
      <c r="V72" s="468"/>
      <c r="AB72" s="1549"/>
      <c r="AC72" s="1549"/>
      <c r="AD72" s="1549"/>
      <c r="AE72" s="1549"/>
      <c r="AF72" s="1549"/>
    </row>
    <row r="73" spans="1:32" s="1284" customFormat="1" ht="18.75" customHeight="1">
      <c r="A73" s="899"/>
      <c r="C73" s="1553"/>
      <c r="D73" s="496"/>
      <c r="E73" s="470" t="str">
        <f>FHD_NUM_P_35</f>
        <v>3</v>
      </c>
      <c r="F73" s="622" t="str">
        <f>FHD_P_35</f>
        <v>Чистая прибыль, полученная от регулируемого вида деятельности в сфере холодного водоснабжения, в том числе:</v>
      </c>
      <c r="G73" s="1563" t="s">
        <v>1717</v>
      </c>
      <c r="H73" s="479"/>
      <c r="I73" s="479"/>
      <c r="J73" s="479"/>
      <c r="K73" s="479"/>
      <c r="L73" s="467"/>
      <c r="M73" s="1553"/>
      <c r="N73" s="1553"/>
      <c r="S73" s="1553"/>
      <c r="V73" s="468"/>
      <c r="AB73" s="1549"/>
      <c r="AC73" s="1549"/>
      <c r="AD73" s="1549"/>
      <c r="AE73" s="1549"/>
      <c r="AF73" s="1549"/>
    </row>
    <row r="74" spans="1:32" s="1284" customFormat="1" ht="18.75" customHeight="1">
      <c r="A74" s="899"/>
      <c r="C74" s="1553"/>
      <c r="D74" s="1555"/>
      <c r="E74" s="470" t="str">
        <f>FHD_NUM_P_36</f>
        <v>3.1</v>
      </c>
      <c r="F74" s="866" t="str">
        <f>FHD_P_36</f>
        <v>Размер расходования чистой прибыли на финансирование мероприятий, предусмотренных инвестиционной программой регулируемой организации</v>
      </c>
      <c r="G74" s="1563" t="s">
        <v>1717</v>
      </c>
      <c r="H74" s="479"/>
      <c r="I74" s="479"/>
      <c r="J74" s="479"/>
      <c r="K74" s="479"/>
      <c r="L74" s="467"/>
      <c r="M74" s="1553"/>
      <c r="N74" s="1553"/>
      <c r="S74" s="1553"/>
      <c r="V74" s="468"/>
      <c r="AB74" s="1549"/>
      <c r="AC74" s="1549"/>
      <c r="AD74" s="1549"/>
      <c r="AE74" s="1549"/>
      <c r="AF74" s="1549"/>
    </row>
    <row r="75" spans="1:32" s="1284" customFormat="1" ht="18.75" customHeight="1">
      <c r="A75" s="899"/>
      <c r="C75" s="1553"/>
      <c r="D75" s="1555"/>
      <c r="E75" s="470" t="str">
        <f>FHD_NUM_P_37</f>
        <v>4</v>
      </c>
      <c r="F75" s="622" t="str">
        <f>FHD_P_37</f>
        <v>Изменение стоимости основных фондов, в том числе:</v>
      </c>
      <c r="G75" s="1563" t="s">
        <v>1717</v>
      </c>
      <c r="H75" s="479"/>
      <c r="I75" s="479"/>
      <c r="J75" s="479"/>
      <c r="K75" s="479"/>
      <c r="L75" s="467"/>
      <c r="M75" s="1553"/>
      <c r="N75" s="1553"/>
      <c r="S75" s="1553"/>
      <c r="V75" s="468"/>
      <c r="AB75" s="1549"/>
      <c r="AC75" s="1549"/>
      <c r="AD75" s="1549"/>
      <c r="AE75" s="1549"/>
      <c r="AF75" s="1549"/>
    </row>
    <row r="76" spans="1:32" s="1284" customFormat="1" ht="18.75" customHeight="1">
      <c r="A76" s="899"/>
      <c r="C76" s="1553"/>
      <c r="D76" s="1555"/>
      <c r="E76" s="470" t="str">
        <f>FHD_NUM_P_38</f>
        <v>4.1</v>
      </c>
      <c r="F76" s="866" t="str">
        <f>FHD_P_38</f>
        <v>Изменение стоимости основных фондов за счет их ввода в эксплуатацию (вывода из эксплуатации)</v>
      </c>
      <c r="G76" s="1563" t="s">
        <v>1717</v>
      </c>
      <c r="H76" s="479"/>
      <c r="I76" s="479"/>
      <c r="J76" s="479"/>
      <c r="K76" s="479"/>
      <c r="L76" s="467"/>
      <c r="M76" s="1553"/>
      <c r="N76" s="1553"/>
      <c r="S76" s="1553"/>
      <c r="V76" s="468"/>
      <c r="AB76" s="1549"/>
      <c r="AC76" s="1549"/>
      <c r="AD76" s="1549"/>
      <c r="AE76" s="1549"/>
      <c r="AF76" s="1549"/>
    </row>
    <row r="77" spans="1:32" s="1284" customFormat="1" ht="18.75" customHeight="1">
      <c r="A77" s="899"/>
      <c r="C77" s="1553"/>
      <c r="D77" s="1555"/>
      <c r="E77" s="470" t="str">
        <f>FHD_NUM_P_39</f>
        <v>4.1.1</v>
      </c>
      <c r="F77" s="1567" t="str">
        <f>FHD_P_39</f>
        <v>Изменение стоимости основных фондов за счет их ввода в эксплуатацию</v>
      </c>
      <c r="G77" s="1563" t="s">
        <v>1717</v>
      </c>
      <c r="H77" s="479"/>
      <c r="I77" s="479"/>
      <c r="J77" s="479"/>
      <c r="K77" s="479"/>
      <c r="L77" s="467"/>
      <c r="M77" s="1553"/>
      <c r="N77" s="1553"/>
      <c r="S77" s="1553"/>
      <c r="V77" s="468"/>
      <c r="AB77" s="1549"/>
      <c r="AC77" s="1549"/>
      <c r="AD77" s="1549"/>
      <c r="AE77" s="1549"/>
      <c r="AF77" s="1549"/>
    </row>
    <row r="78" spans="1:32" s="1284" customFormat="1" ht="18.75" customHeight="1">
      <c r="A78" s="899"/>
      <c r="C78" s="1553"/>
      <c r="D78" s="1555"/>
      <c r="E78" s="470" t="str">
        <f>FHD_NUM_P_40</f>
        <v>4.1.2</v>
      </c>
      <c r="F78" s="1567" t="str">
        <f>FHD_P_40</f>
        <v>Изменение стоимости основных фондов за счет их вывода в эксплуатацию</v>
      </c>
      <c r="G78" s="1563" t="s">
        <v>1717</v>
      </c>
      <c r="H78" s="479"/>
      <c r="I78" s="479"/>
      <c r="J78" s="479"/>
      <c r="K78" s="479"/>
      <c r="L78" s="467"/>
      <c r="M78" s="1553"/>
      <c r="N78" s="1553"/>
      <c r="S78" s="1553"/>
      <c r="V78" s="468"/>
      <c r="AB78" s="1549"/>
      <c r="AC78" s="1549"/>
      <c r="AD78" s="1549"/>
      <c r="AE78" s="1549"/>
      <c r="AF78" s="1549"/>
    </row>
    <row r="79" spans="1:32" s="1284" customFormat="1" ht="18.75" customHeight="1">
      <c r="A79" s="899"/>
      <c r="C79" s="1553"/>
      <c r="D79" s="1555"/>
      <c r="E79" s="470" t="str">
        <f>FHD_NUM_P_41</f>
        <v>4.2</v>
      </c>
      <c r="F79" s="866" t="str">
        <f>FHD_P_41</f>
        <v>Изменение стоимости основных фондов за счет их переоценки</v>
      </c>
      <c r="G79" s="1561" t="s">
        <v>1717</v>
      </c>
      <c r="H79" s="479"/>
      <c r="I79" s="479"/>
      <c r="J79" s="479"/>
      <c r="K79" s="479"/>
      <c r="L79" s="467"/>
      <c r="M79" s="1553"/>
      <c r="N79" s="1553"/>
      <c r="S79" s="1553"/>
      <c r="V79" s="468"/>
      <c r="AB79" s="1549"/>
      <c r="AC79" s="1549"/>
      <c r="AD79" s="1549"/>
      <c r="AE79" s="1549"/>
      <c r="AF79" s="1549"/>
    </row>
    <row r="80" spans="1:32" s="1284" customFormat="1" ht="18.75" customHeight="1">
      <c r="A80" s="901" t="s">
        <v>1732</v>
      </c>
      <c r="C80" s="1553"/>
      <c r="D80" s="1555"/>
      <c r="E80" s="470" t="str">
        <f>FHD_NUM_P_42</f>
        <v>5</v>
      </c>
      <c r="F80" s="622" t="str">
        <f>FHD_P_42</f>
        <v>Валовая прибыль (убытки) от продажи товаров и услуг по регулируемым видам деятельности в сфере холодного водоснабжения</v>
      </c>
      <c r="G80" s="1563" t="s">
        <v>1717</v>
      </c>
      <c r="H80" s="888"/>
      <c r="I80" s="479"/>
      <c r="J80" s="888"/>
      <c r="K80" s="888"/>
      <c r="L80" s="467"/>
      <c r="M80" s="1553"/>
      <c r="N80" s="1553"/>
      <c r="S80" s="1553"/>
      <c r="V80" s="468"/>
      <c r="AB80" s="1549"/>
      <c r="AC80" s="1549"/>
      <c r="AD80" s="1549"/>
      <c r="AE80" s="1549"/>
      <c r="AF80" s="1549"/>
    </row>
    <row r="81" spans="1:32" s="1284" customFormat="1" ht="18.75" customHeight="1">
      <c r="A81" s="899"/>
      <c r="C81" s="1553"/>
      <c r="D81" s="1555"/>
      <c r="E81" s="470" t="str">
        <f>FHD_NUM_P_43</f>
        <v>6</v>
      </c>
      <c r="F81" s="622" t="str">
        <f>FHD_P_43</f>
        <v>Годовая бухгалтерская (финансовая) отчетность, включая бухгалтерский баланс и приложения к нему</v>
      </c>
      <c r="G81" s="1563" t="s">
        <v>297</v>
      </c>
      <c r="H81" s="963"/>
      <c r="I81" s="731"/>
      <c r="J81" s="963"/>
      <c r="K81" s="963"/>
      <c r="L81" s="467"/>
      <c r="M81" s="1553"/>
      <c r="N81" s="1553"/>
      <c r="S81" s="1553"/>
      <c r="V81" s="468"/>
      <c r="AB81" s="1549"/>
      <c r="AC81" s="1549"/>
      <c r="AD81" s="1549"/>
      <c r="AE81" s="1549"/>
      <c r="AF81" s="1549"/>
    </row>
    <row r="82" spans="1:32" s="1284" customFormat="1" ht="18.75" customHeight="1">
      <c r="A82" s="2192" t="s">
        <v>1733</v>
      </c>
      <c r="C82" s="651"/>
      <c r="D82" s="649"/>
      <c r="E82" s="470" t="str">
        <f>FHD_NUM_P_44</f>
        <v>7</v>
      </c>
      <c r="F82" s="622" t="str">
        <f>FHD_P_44</f>
        <v>Объём поднятой воды</v>
      </c>
      <c r="G82" s="636" t="s">
        <v>1734</v>
      </c>
      <c r="H82" s="889"/>
      <c r="I82" s="498"/>
      <c r="J82" s="889"/>
      <c r="K82" s="889"/>
      <c r="L82" s="650"/>
      <c r="M82" s="651"/>
      <c r="N82" s="651"/>
      <c r="S82" s="651"/>
      <c r="V82" s="652"/>
      <c r="AB82" s="653"/>
      <c r="AC82" s="653"/>
      <c r="AD82" s="653"/>
      <c r="AE82" s="653"/>
      <c r="AF82" s="653"/>
    </row>
    <row r="83" spans="1:32" s="1284" customFormat="1" ht="18.75" customHeight="1">
      <c r="A83" s="2192"/>
      <c r="C83" s="651"/>
      <c r="D83" s="649"/>
      <c r="E83" s="470" t="str">
        <f>FHD_NUM_P_45</f>
        <v>8</v>
      </c>
      <c r="F83" s="622" t="str">
        <f>FHD_P_45</f>
        <v>Объём покупной воды</v>
      </c>
      <c r="G83" s="636" t="s">
        <v>1734</v>
      </c>
      <c r="H83" s="889"/>
      <c r="I83" s="498"/>
      <c r="J83" s="889"/>
      <c r="K83" s="889"/>
      <c r="L83" s="650"/>
      <c r="M83" s="651"/>
      <c r="N83" s="651"/>
      <c r="S83" s="651"/>
      <c r="V83" s="652"/>
      <c r="AB83" s="653"/>
      <c r="AC83" s="653"/>
      <c r="AD83" s="653"/>
      <c r="AE83" s="653"/>
      <c r="AF83" s="653"/>
    </row>
    <row r="84" spans="1:32" s="1284" customFormat="1" ht="18.75" customHeight="1">
      <c r="A84" s="2192"/>
      <c r="C84" s="651"/>
      <c r="D84" s="654"/>
      <c r="E84" s="470" t="str">
        <f>FHD_NUM_P_46</f>
        <v>9</v>
      </c>
      <c r="F84" s="622" t="str">
        <f>FHD_P_46</f>
        <v>Объём воды, пропущенной через очистные сооружения</v>
      </c>
      <c r="G84" s="636" t="s">
        <v>1734</v>
      </c>
      <c r="H84" s="889"/>
      <c r="I84" s="498"/>
      <c r="J84" s="889"/>
      <c r="K84" s="889"/>
      <c r="L84" s="650"/>
      <c r="M84" s="651"/>
      <c r="N84" s="651"/>
      <c r="S84" s="651"/>
      <c r="V84" s="652"/>
      <c r="AB84" s="653"/>
      <c r="AC84" s="653"/>
      <c r="AD84" s="653"/>
      <c r="AE84" s="653"/>
      <c r="AF84" s="653"/>
    </row>
    <row r="85" spans="1:32" s="1284" customFormat="1" ht="18.75" customHeight="1">
      <c r="A85" s="2192"/>
      <c r="C85" s="651"/>
      <c r="D85" s="649"/>
      <c r="E85" s="470" t="str">
        <f>FHD_NUM_P_47</f>
        <v>10</v>
      </c>
      <c r="F85" s="622" t="str">
        <f>FHD_P_47</f>
        <v>Объём отпущенной потребителям воды, в том числе:</v>
      </c>
      <c r="G85" s="636" t="s">
        <v>1734</v>
      </c>
      <c r="H85" s="889"/>
      <c r="I85" s="498"/>
      <c r="J85" s="889"/>
      <c r="K85" s="889"/>
      <c r="L85" s="650"/>
      <c r="M85" s="651"/>
      <c r="N85" s="651"/>
      <c r="S85" s="651"/>
      <c r="V85" s="652"/>
      <c r="AB85" s="653"/>
      <c r="AC85" s="653"/>
      <c r="AD85" s="653"/>
      <c r="AE85" s="653"/>
      <c r="AF85" s="653"/>
    </row>
    <row r="86" spans="1:32" s="1552" customFormat="1" ht="18.75" customHeight="1">
      <c r="A86" s="2192"/>
      <c r="B86" s="825"/>
      <c r="C86" s="651"/>
      <c r="D86" s="649"/>
      <c r="E86" s="470" t="str">
        <f>FHD_NUM_P_48</f>
        <v>10.1</v>
      </c>
      <c r="F86" s="622" t="str">
        <f>FHD_P_48</f>
        <v>Объём отпущенной потребителям воды, определенный по приборам учета</v>
      </c>
      <c r="G86" s="636" t="s">
        <v>1734</v>
      </c>
      <c r="H86" s="889"/>
      <c r="I86" s="498"/>
      <c r="J86" s="889"/>
      <c r="K86" s="889"/>
      <c r="L86" s="650"/>
      <c r="M86" s="651"/>
      <c r="N86" s="651"/>
      <c r="O86" s="825"/>
      <c r="P86" s="825"/>
      <c r="Q86" s="825"/>
      <c r="R86" s="825"/>
      <c r="S86" s="651"/>
      <c r="T86" s="825"/>
      <c r="U86" s="825"/>
      <c r="V86" s="652"/>
      <c r="W86" s="825"/>
      <c r="X86" s="825"/>
      <c r="Y86" s="825"/>
      <c r="Z86" s="825"/>
      <c r="AA86" s="825"/>
      <c r="AB86" s="653"/>
      <c r="AC86" s="653"/>
      <c r="AD86" s="653"/>
      <c r="AE86" s="653"/>
      <c r="AF86" s="653"/>
    </row>
    <row r="87" spans="1:32" s="1552" customFormat="1" ht="18.75" customHeight="1">
      <c r="A87" s="2192"/>
      <c r="B87" s="825"/>
      <c r="C87" s="651"/>
      <c r="D87" s="649"/>
      <c r="E87" s="470" t="str">
        <f>FHD_NUM_P_49</f>
        <v>10.2</v>
      </c>
      <c r="F87" s="622" t="str">
        <f>FHD_P_49</f>
        <v>Объём отпущенной потребителям воды, определенный расчетным способом</v>
      </c>
      <c r="G87" s="636" t="s">
        <v>1734</v>
      </c>
      <c r="H87" s="890">
        <f>SUM(H88:H89)</f>
        <v>0</v>
      </c>
      <c r="I87" s="663">
        <f>SUM(I88:I89)</f>
        <v>0</v>
      </c>
      <c r="J87" s="890">
        <f>SUM(J88:J89)</f>
        <v>0</v>
      </c>
      <c r="K87" s="890">
        <f>SUM(K88:K89)</f>
        <v>0</v>
      </c>
      <c r="L87" s="650"/>
      <c r="M87" s="651"/>
      <c r="N87" s="651"/>
      <c r="O87" s="825"/>
      <c r="P87" s="825"/>
      <c r="Q87" s="825"/>
      <c r="R87" s="825"/>
      <c r="S87" s="651"/>
      <c r="T87" s="825"/>
      <c r="U87" s="825"/>
      <c r="V87" s="652"/>
      <c r="W87" s="825"/>
      <c r="X87" s="825"/>
      <c r="Y87" s="825"/>
      <c r="Z87" s="825"/>
      <c r="AA87" s="825"/>
      <c r="AB87" s="653"/>
      <c r="AC87" s="653"/>
      <c r="AD87" s="653"/>
      <c r="AE87" s="653"/>
      <c r="AF87" s="653"/>
    </row>
    <row r="88" spans="1:32" s="1552" customFormat="1" ht="18.75" customHeight="1">
      <c r="A88" s="2192"/>
      <c r="B88" s="825"/>
      <c r="C88" s="651"/>
      <c r="D88" s="649"/>
      <c r="E88" s="470" t="str">
        <f>FHD_NUM_P_50</f>
        <v>10.2.1</v>
      </c>
      <c r="F88" s="622" t="str">
        <f>FHD_P_50</f>
        <v>Объём отпущенной потребителям воды, определенный по нормативам потребления коммунальных услуг</v>
      </c>
      <c r="G88" s="636" t="s">
        <v>1734</v>
      </c>
      <c r="H88" s="889"/>
      <c r="I88" s="498"/>
      <c r="J88" s="889"/>
      <c r="K88" s="889"/>
      <c r="L88" s="650"/>
      <c r="M88" s="651"/>
      <c r="N88" s="651"/>
      <c r="O88" s="825"/>
      <c r="P88" s="825"/>
      <c r="Q88" s="825"/>
      <c r="R88" s="825"/>
      <c r="S88" s="651"/>
      <c r="T88" s="825"/>
      <c r="U88" s="825"/>
      <c r="V88" s="652"/>
      <c r="W88" s="825"/>
      <c r="X88" s="825"/>
      <c r="Y88" s="825"/>
      <c r="Z88" s="825"/>
      <c r="AA88" s="825"/>
      <c r="AB88" s="653"/>
      <c r="AC88" s="653"/>
      <c r="AD88" s="653"/>
      <c r="AE88" s="653"/>
      <c r="AF88" s="653"/>
    </row>
    <row r="89" spans="1:32" s="1552" customFormat="1" ht="18.75" customHeight="1">
      <c r="A89" s="2192"/>
      <c r="B89" s="825"/>
      <c r="C89" s="651"/>
      <c r="D89" s="649"/>
      <c r="E89" s="470" t="str">
        <f>FHD_NUM_P_51</f>
        <v>10.2.2</v>
      </c>
      <c r="F89" s="622" t="str">
        <f>FHD_P_51</f>
        <v xml:space="preserve">Объём отпущенной потребителям воды, определенный по нормативам потребления коммунальных ресурсов </v>
      </c>
      <c r="G89" s="636" t="s">
        <v>1734</v>
      </c>
      <c r="H89" s="889"/>
      <c r="I89" s="498"/>
      <c r="J89" s="889"/>
      <c r="K89" s="889"/>
      <c r="L89" s="650"/>
      <c r="M89" s="651"/>
      <c r="N89" s="651"/>
      <c r="O89" s="825"/>
      <c r="P89" s="825"/>
      <c r="Q89" s="825"/>
      <c r="R89" s="825"/>
      <c r="S89" s="651"/>
      <c r="T89" s="825"/>
      <c r="U89" s="825"/>
      <c r="V89" s="652"/>
      <c r="W89" s="825"/>
      <c r="X89" s="825"/>
      <c r="Y89" s="825"/>
      <c r="Z89" s="825"/>
      <c r="AA89" s="825"/>
      <c r="AB89" s="653"/>
      <c r="AC89" s="653"/>
      <c r="AD89" s="653"/>
      <c r="AE89" s="653"/>
      <c r="AF89" s="653"/>
    </row>
    <row r="90" spans="1:32" s="1552" customFormat="1" ht="18.75" customHeight="1">
      <c r="A90" s="2192"/>
      <c r="B90" s="825"/>
      <c r="C90" s="651"/>
      <c r="D90" s="649"/>
      <c r="E90" s="470" t="str">
        <f>FHD_NUM_P_52</f>
        <v>11</v>
      </c>
      <c r="F90" s="622" t="str">
        <f>FHD_P_52</f>
        <v>Потери воды в сетях</v>
      </c>
      <c r="G90" s="636" t="s">
        <v>1632</v>
      </c>
      <c r="H90" s="888"/>
      <c r="I90" s="479"/>
      <c r="J90" s="888"/>
      <c r="K90" s="888"/>
      <c r="L90" s="650"/>
      <c r="M90" s="651"/>
      <c r="N90" s="651"/>
      <c r="O90" s="825"/>
      <c r="P90" s="825"/>
      <c r="Q90" s="825"/>
      <c r="R90" s="825"/>
      <c r="S90" s="651"/>
      <c r="T90" s="825"/>
      <c r="U90" s="825"/>
      <c r="V90" s="652"/>
      <c r="W90" s="825"/>
      <c r="X90" s="825"/>
      <c r="Y90" s="825"/>
      <c r="Z90" s="825"/>
      <c r="AA90" s="825"/>
      <c r="AB90" s="653"/>
      <c r="AC90" s="653"/>
      <c r="AD90" s="653"/>
      <c r="AE90" s="653"/>
      <c r="AF90" s="653"/>
    </row>
    <row r="91" spans="1:32" s="1284" customFormat="1" ht="18.75" hidden="1" customHeight="1">
      <c r="A91" s="2192" t="s">
        <v>1735</v>
      </c>
      <c r="C91" s="651"/>
      <c r="D91" s="649"/>
      <c r="E91" s="470" t="str">
        <f>FHD_NUM_P_53</f>
        <v/>
      </c>
      <c r="F91" s="622" t="str">
        <f>FHD_P_53</f>
        <v/>
      </c>
      <c r="G91" s="636" t="s">
        <v>1734</v>
      </c>
      <c r="H91" s="889"/>
      <c r="I91" s="498"/>
      <c r="J91" s="889"/>
      <c r="K91" s="889"/>
      <c r="L91" s="650"/>
      <c r="M91" s="651"/>
      <c r="N91" s="651"/>
      <c r="S91" s="651"/>
      <c r="V91" s="652"/>
      <c r="AB91" s="653"/>
      <c r="AC91" s="653"/>
      <c r="AD91" s="653"/>
      <c r="AE91" s="653"/>
      <c r="AF91" s="653"/>
    </row>
    <row r="92" spans="1:32" s="1284" customFormat="1" ht="18.75" hidden="1" customHeight="1">
      <c r="A92" s="2192"/>
      <c r="C92" s="651"/>
      <c r="D92" s="649"/>
      <c r="E92" s="470" t="str">
        <f>FHD_NUM_P_54</f>
        <v/>
      </c>
      <c r="F92" s="622" t="str">
        <f>FHD_P_54</f>
        <v/>
      </c>
      <c r="G92" s="636" t="s">
        <v>1734</v>
      </c>
      <c r="H92" s="889"/>
      <c r="I92" s="498"/>
      <c r="J92" s="889"/>
      <c r="K92" s="889"/>
      <c r="L92" s="650"/>
      <c r="M92" s="651"/>
      <c r="N92" s="651"/>
      <c r="S92" s="651"/>
      <c r="V92" s="652"/>
      <c r="AB92" s="653"/>
      <c r="AC92" s="653"/>
      <c r="AD92" s="653"/>
      <c r="AE92" s="653"/>
      <c r="AF92" s="653"/>
    </row>
    <row r="93" spans="1:32" s="1284" customFormat="1" ht="18.75" hidden="1" customHeight="1">
      <c r="A93" s="2192"/>
      <c r="C93" s="651"/>
      <c r="D93" s="654"/>
      <c r="E93" s="470" t="str">
        <f>FHD_NUM_P_55</f>
        <v/>
      </c>
      <c r="F93" s="622" t="str">
        <f>FHD_P_55</f>
        <v/>
      </c>
      <c r="G93" s="804"/>
      <c r="H93" s="889"/>
      <c r="I93" s="498"/>
      <c r="J93" s="889"/>
      <c r="K93" s="889"/>
      <c r="L93" s="650"/>
      <c r="M93" s="651"/>
      <c r="N93" s="651"/>
      <c r="S93" s="651"/>
      <c r="V93" s="652"/>
      <c r="AB93" s="653"/>
      <c r="AC93" s="653"/>
      <c r="AD93" s="653"/>
      <c r="AE93" s="653"/>
      <c r="AF93" s="653"/>
    </row>
    <row r="94" spans="1:32" s="1284" customFormat="1" ht="18.75" hidden="1" customHeight="1">
      <c r="A94" s="2192"/>
      <c r="C94" s="651"/>
      <c r="D94" s="649"/>
      <c r="E94" s="470" t="str">
        <f>FHD_NUM_P_56</f>
        <v/>
      </c>
      <c r="F94" s="622" t="str">
        <f>FHD_P_56</f>
        <v/>
      </c>
      <c r="G94" s="636" t="s">
        <v>846</v>
      </c>
      <c r="H94" s="889"/>
      <c r="I94" s="498"/>
      <c r="J94" s="889"/>
      <c r="K94" s="889"/>
      <c r="L94" s="650"/>
      <c r="M94" s="651"/>
      <c r="N94" s="651"/>
      <c r="S94" s="651"/>
      <c r="V94" s="652"/>
      <c r="AB94" s="653"/>
      <c r="AC94" s="653"/>
      <c r="AD94" s="653"/>
      <c r="AE94" s="653"/>
      <c r="AF94" s="653"/>
    </row>
    <row r="95" spans="1:32" s="1552" customFormat="1" ht="18.75" hidden="1" customHeight="1">
      <c r="A95" s="2192"/>
      <c r="B95" s="825"/>
      <c r="C95" s="651"/>
      <c r="D95" s="649"/>
      <c r="E95" s="470" t="str">
        <f>FHD_NUM_P_57</f>
        <v/>
      </c>
      <c r="F95" s="622" t="str">
        <f>FHD_P_57</f>
        <v/>
      </c>
      <c r="G95" s="636" t="s">
        <v>1632</v>
      </c>
      <c r="H95" s="888"/>
      <c r="I95" s="479"/>
      <c r="J95" s="888"/>
      <c r="K95" s="888"/>
      <c r="L95" s="650"/>
      <c r="M95" s="651"/>
      <c r="N95" s="651"/>
      <c r="O95" s="825"/>
      <c r="P95" s="825"/>
      <c r="Q95" s="825"/>
      <c r="R95" s="825"/>
      <c r="S95" s="651"/>
      <c r="T95" s="825"/>
      <c r="U95" s="825"/>
      <c r="V95" s="652"/>
      <c r="W95" s="825"/>
      <c r="X95" s="825"/>
      <c r="Y95" s="825"/>
      <c r="Z95" s="825"/>
      <c r="AA95" s="825"/>
      <c r="AB95" s="653"/>
      <c r="AC95" s="653"/>
      <c r="AD95" s="653"/>
      <c r="AE95" s="653"/>
      <c r="AF95" s="653"/>
    </row>
    <row r="96" spans="1:32" ht="18.75" hidden="1" customHeight="1">
      <c r="A96" s="2192" t="s">
        <v>1736</v>
      </c>
      <c r="D96" s="1555"/>
      <c r="E96" s="470" t="str">
        <f>FHD_NUM_P_58</f>
        <v/>
      </c>
      <c r="F96" s="622" t="str">
        <f>FHD_P_58</f>
        <v/>
      </c>
      <c r="G96" s="636" t="s">
        <v>1734</v>
      </c>
      <c r="H96" s="889"/>
      <c r="I96" s="498"/>
      <c r="J96" s="889"/>
      <c r="K96" s="889"/>
      <c r="L96" s="467"/>
    </row>
    <row r="97" spans="1:32" ht="18.75" hidden="1" customHeight="1">
      <c r="A97" s="2192"/>
      <c r="D97" s="1555"/>
      <c r="E97" s="470" t="str">
        <f>FHD_NUM_P_59</f>
        <v/>
      </c>
      <c r="F97" s="622" t="str">
        <f>FHD_P_59</f>
        <v/>
      </c>
      <c r="G97" s="636" t="s">
        <v>1734</v>
      </c>
      <c r="H97" s="889"/>
      <c r="I97" s="498"/>
      <c r="J97" s="889"/>
      <c r="K97" s="889"/>
      <c r="L97" s="467"/>
    </row>
    <row r="98" spans="1:32" ht="18.75" hidden="1" customHeight="1">
      <c r="A98" s="2192"/>
      <c r="D98" s="1555"/>
      <c r="E98" s="470" t="str">
        <f>FHD_NUM_P_60</f>
        <v/>
      </c>
      <c r="F98" s="622" t="str">
        <f>FHD_P_60</f>
        <v/>
      </c>
      <c r="G98" s="636" t="s">
        <v>1734</v>
      </c>
      <c r="H98" s="889"/>
      <c r="I98" s="498"/>
      <c r="J98" s="889"/>
      <c r="K98" s="889"/>
      <c r="L98" s="467"/>
    </row>
    <row r="99" spans="1:32" s="1284" customFormat="1" ht="18.75" hidden="1" customHeight="1">
      <c r="A99" s="2192" t="s">
        <v>1737</v>
      </c>
      <c r="C99" s="1553"/>
      <c r="D99" s="1555"/>
      <c r="E99" s="470" t="str">
        <f>FHD_NUM_P_61</f>
        <v/>
      </c>
      <c r="F99" s="622" t="str">
        <f>FHD_P_61</f>
        <v/>
      </c>
      <c r="G99" s="1563" t="s">
        <v>630</v>
      </c>
      <c r="H99" s="891"/>
      <c r="I99" s="657"/>
      <c r="J99" s="891"/>
      <c r="K99" s="891"/>
      <c r="L99" s="467"/>
      <c r="M99" s="1553"/>
      <c r="N99" s="1553"/>
      <c r="S99" s="1553"/>
      <c r="V99" s="468"/>
      <c r="AB99" s="1549"/>
      <c r="AC99" s="1549"/>
      <c r="AD99" s="1549"/>
      <c r="AE99" s="1549"/>
      <c r="AF99" s="1549"/>
    </row>
    <row r="100" spans="1:32" s="1559" customFormat="1" ht="0.75" hidden="1" customHeight="1">
      <c r="A100" s="2192"/>
      <c r="D100" s="472"/>
      <c r="E100" s="715" t="str">
        <f>E99&amp;".0"</f>
        <v>.0</v>
      </c>
      <c r="F100" s="905"/>
      <c r="G100" s="906"/>
      <c r="H100" s="904"/>
      <c r="I100" s="904"/>
      <c r="J100" s="904"/>
      <c r="K100" s="904"/>
    </row>
    <row r="101" spans="1:32" ht="15" hidden="1" customHeight="1">
      <c r="A101" s="2192"/>
      <c r="D101" s="1550"/>
      <c r="E101" s="883"/>
      <c r="F101" s="884" t="s">
        <v>1571</v>
      </c>
      <c r="G101" s="493"/>
      <c r="H101" s="494"/>
      <c r="I101" s="494"/>
      <c r="J101" s="1823"/>
      <c r="K101" s="1824"/>
      <c r="L101" s="467"/>
    </row>
    <row r="102" spans="1:32" s="1284" customFormat="1" ht="18.75" hidden="1" customHeight="1">
      <c r="A102" s="2192"/>
      <c r="C102" s="1553"/>
      <c r="D102" s="1555"/>
      <c r="E102" s="470" t="str">
        <f>FHD_NUM_P_62</f>
        <v/>
      </c>
      <c r="F102" s="622" t="str">
        <f>FHD_P_62</f>
        <v/>
      </c>
      <c r="G102" s="1560" t="s">
        <v>630</v>
      </c>
      <c r="H102" s="479"/>
      <c r="I102" s="479"/>
      <c r="J102" s="479"/>
      <c r="K102" s="479"/>
      <c r="L102" s="467"/>
      <c r="M102" s="1553"/>
      <c r="N102" s="1553"/>
      <c r="S102" s="1553"/>
      <c r="V102" s="468"/>
      <c r="AB102" s="1549"/>
      <c r="AC102" s="1549"/>
      <c r="AD102" s="1549"/>
      <c r="AE102" s="1549"/>
      <c r="AF102" s="1549"/>
    </row>
    <row r="103" spans="1:32" s="1284" customFormat="1" ht="18.75" hidden="1" customHeight="1">
      <c r="A103" s="2192"/>
      <c r="C103" s="1553"/>
      <c r="D103" s="1555"/>
      <c r="E103" s="470" t="str">
        <f>FHD_NUM_P_63</f>
        <v/>
      </c>
      <c r="F103" s="622" t="str">
        <f>FHD_P_63</f>
        <v/>
      </c>
      <c r="G103" s="1560" t="s">
        <v>846</v>
      </c>
      <c r="H103" s="498"/>
      <c r="I103" s="498"/>
      <c r="J103" s="498"/>
      <c r="K103" s="498"/>
      <c r="L103" s="467"/>
      <c r="M103" s="1553"/>
      <c r="N103" s="1553"/>
      <c r="S103" s="1553"/>
      <c r="V103" s="468"/>
      <c r="AB103" s="1549"/>
      <c r="AC103" s="1549"/>
      <c r="AD103" s="1549"/>
      <c r="AE103" s="1549"/>
      <c r="AF103" s="1549"/>
    </row>
    <row r="104" spans="1:32" s="1284" customFormat="1" ht="18.75" hidden="1" customHeight="1">
      <c r="A104" s="2192"/>
      <c r="C104" s="1553" t="s">
        <v>1738</v>
      </c>
      <c r="D104" s="1555"/>
      <c r="E104" s="470" t="str">
        <f>FHD_NUM_P_64</f>
        <v/>
      </c>
      <c r="F104" s="622" t="str">
        <f>FHD_P_64</f>
        <v/>
      </c>
      <c r="G104" s="1560" t="s">
        <v>846</v>
      </c>
      <c r="H104" s="469"/>
      <c r="I104" s="469"/>
      <c r="J104" s="469"/>
      <c r="K104" s="469"/>
      <c r="L104" s="467"/>
      <c r="M104" s="1553"/>
      <c r="N104" s="1553"/>
      <c r="S104" s="1553"/>
      <c r="V104" s="468"/>
      <c r="AB104" s="1549"/>
      <c r="AC104" s="1549"/>
      <c r="AD104" s="1549"/>
      <c r="AE104" s="1549"/>
      <c r="AF104" s="1549"/>
    </row>
    <row r="105" spans="1:32" s="1284" customFormat="1" ht="18.75" hidden="1" customHeight="1">
      <c r="A105" s="2192"/>
      <c r="C105" s="1553"/>
      <c r="D105" s="1555"/>
      <c r="E105" s="470" t="str">
        <f>FHD_NUM_P_65</f>
        <v/>
      </c>
      <c r="F105" s="622" t="str">
        <f>FHD_P_65</f>
        <v/>
      </c>
      <c r="G105" s="1560" t="s">
        <v>846</v>
      </c>
      <c r="H105" s="498"/>
      <c r="I105" s="498"/>
      <c r="J105" s="498"/>
      <c r="K105" s="498"/>
      <c r="L105" s="467"/>
      <c r="M105" s="1553"/>
      <c r="N105" s="1553"/>
      <c r="S105" s="1553"/>
      <c r="V105" s="468"/>
      <c r="AB105" s="1549"/>
      <c r="AC105" s="1549"/>
      <c r="AD105" s="1549"/>
      <c r="AE105" s="1549"/>
      <c r="AF105" s="1549"/>
    </row>
    <row r="106" spans="1:32" s="1284" customFormat="1" ht="18.75" hidden="1" customHeight="1">
      <c r="A106" s="2192"/>
      <c r="C106" s="1553"/>
      <c r="D106" s="1555"/>
      <c r="E106" s="470" t="str">
        <f>FHD_NUM_P_66</f>
        <v/>
      </c>
      <c r="F106" s="866" t="str">
        <f>FHD_P_66</f>
        <v/>
      </c>
      <c r="G106" s="1560" t="s">
        <v>846</v>
      </c>
      <c r="H106" s="498"/>
      <c r="I106" s="498"/>
      <c r="J106" s="498"/>
      <c r="K106" s="498"/>
      <c r="L106" s="467"/>
      <c r="M106" s="1553"/>
      <c r="N106" s="1553"/>
      <c r="S106" s="1553"/>
      <c r="V106" s="468"/>
      <c r="AB106" s="1549"/>
      <c r="AC106" s="1549"/>
      <c r="AD106" s="1549"/>
      <c r="AE106" s="1549"/>
      <c r="AF106" s="1549"/>
    </row>
    <row r="107" spans="1:32" s="1284" customFormat="1" ht="18.75" hidden="1" customHeight="1">
      <c r="A107" s="2192"/>
      <c r="C107" s="1553"/>
      <c r="D107" s="1555"/>
      <c r="E107" s="470" t="str">
        <f>FHD_NUM_P_67</f>
        <v/>
      </c>
      <c r="F107" s="1567" t="str">
        <f>FHD_P_67</f>
        <v/>
      </c>
      <c r="G107" s="1560" t="s">
        <v>846</v>
      </c>
      <c r="H107" s="498"/>
      <c r="I107" s="498"/>
      <c r="J107" s="498"/>
      <c r="K107" s="498"/>
      <c r="L107" s="467"/>
      <c r="M107" s="1553"/>
      <c r="N107" s="1553"/>
      <c r="S107" s="1553"/>
      <c r="V107" s="468"/>
      <c r="AB107" s="1549"/>
      <c r="AC107" s="1549"/>
      <c r="AD107" s="1549"/>
      <c r="AE107" s="1549"/>
      <c r="AF107" s="1549"/>
    </row>
    <row r="108" spans="1:32" s="1284" customFormat="1" ht="18.75" hidden="1" customHeight="1">
      <c r="A108" s="2192"/>
      <c r="C108" s="1553"/>
      <c r="D108" s="1555"/>
      <c r="E108" s="470" t="str">
        <f>FHD_NUM_P_68</f>
        <v/>
      </c>
      <c r="F108" s="866" t="str">
        <f>FHD_P_68</f>
        <v/>
      </c>
      <c r="G108" s="1560" t="s">
        <v>846</v>
      </c>
      <c r="H108" s="498"/>
      <c r="I108" s="498"/>
      <c r="J108" s="498"/>
      <c r="K108" s="498"/>
      <c r="L108" s="467"/>
      <c r="M108" s="1553"/>
      <c r="N108" s="1553"/>
      <c r="S108" s="1553"/>
      <c r="V108" s="468"/>
      <c r="AB108" s="1549"/>
      <c r="AC108" s="1549"/>
      <c r="AD108" s="1549"/>
      <c r="AE108" s="1549"/>
      <c r="AF108" s="1549"/>
    </row>
    <row r="109" spans="1:32" s="1284" customFormat="1" ht="18.75" hidden="1" customHeight="1">
      <c r="A109" s="2192"/>
      <c r="C109" s="1553"/>
      <c r="D109" s="1555"/>
      <c r="E109" s="470" t="str">
        <f>FHD_NUM_P_69</f>
        <v/>
      </c>
      <c r="F109" s="866" t="str">
        <f>FHD_P_69</f>
        <v/>
      </c>
      <c r="G109" s="1560" t="s">
        <v>846</v>
      </c>
      <c r="H109" s="498"/>
      <c r="I109" s="498"/>
      <c r="J109" s="498"/>
      <c r="K109" s="498"/>
      <c r="L109" s="467"/>
      <c r="M109" s="1553"/>
      <c r="N109" s="1553"/>
      <c r="S109" s="1553"/>
      <c r="V109" s="468"/>
      <c r="AB109" s="1549"/>
      <c r="AC109" s="1549"/>
      <c r="AD109" s="1549"/>
      <c r="AE109" s="1549"/>
      <c r="AF109" s="1549"/>
    </row>
    <row r="110" spans="1:32" s="1284" customFormat="1" ht="22.5" hidden="1" customHeight="1">
      <c r="A110" s="2192"/>
      <c r="C110" s="1553"/>
      <c r="D110" s="1555"/>
      <c r="E110" s="470" t="str">
        <f>FHD_NUM_P_70</f>
        <v/>
      </c>
      <c r="F110" s="622" t="str">
        <f>FHD_P_70</f>
        <v/>
      </c>
      <c r="G110" s="1560" t="s">
        <v>1739</v>
      </c>
      <c r="H110" s="479"/>
      <c r="I110" s="479"/>
      <c r="J110" s="479"/>
      <c r="K110" s="479"/>
      <c r="L110" s="467"/>
      <c r="M110" s="1553"/>
      <c r="N110" s="1553"/>
      <c r="S110" s="1553"/>
      <c r="V110" s="468"/>
      <c r="AB110" s="1549"/>
      <c r="AC110" s="1549"/>
      <c r="AD110" s="1549"/>
      <c r="AE110" s="1549"/>
      <c r="AF110" s="1549"/>
    </row>
    <row r="111" spans="1:32" s="1284" customFormat="1" ht="22.5" hidden="1" customHeight="1">
      <c r="A111" s="2192"/>
      <c r="C111" s="1553"/>
      <c r="D111" s="1555"/>
      <c r="E111" s="470" t="str">
        <f>FHD_NUM_P_71</f>
        <v/>
      </c>
      <c r="F111" s="622" t="str">
        <f>FHD_P_71</f>
        <v/>
      </c>
      <c r="G111" s="1560" t="s">
        <v>1739</v>
      </c>
      <c r="H111" s="479"/>
      <c r="I111" s="479"/>
      <c r="J111" s="479"/>
      <c r="K111" s="479"/>
      <c r="L111" s="467"/>
      <c r="M111" s="1553"/>
      <c r="N111" s="1553"/>
      <c r="S111" s="1553"/>
      <c r="V111" s="468"/>
      <c r="AB111" s="1549"/>
      <c r="AC111" s="1549"/>
      <c r="AD111" s="1549"/>
      <c r="AE111" s="1549"/>
      <c r="AF111" s="1549"/>
    </row>
    <row r="112" spans="1:32" ht="18.75" customHeight="1">
      <c r="D112" s="1555"/>
      <c r="E112" s="470" t="str">
        <f>FHD_NUM_P_72</f>
        <v>12</v>
      </c>
      <c r="F112" s="622" t="str">
        <f>FHD_P_72</f>
        <v>Среднесписочная численность основного производственного персонала</v>
      </c>
      <c r="G112" s="881" t="s">
        <v>1740</v>
      </c>
      <c r="H112" s="498"/>
      <c r="I112" s="498"/>
      <c r="J112" s="498"/>
      <c r="K112" s="498"/>
      <c r="L112" s="467"/>
    </row>
    <row r="113" spans="1:32" ht="18.75" hidden="1" customHeight="1">
      <c r="A113" s="901" t="s">
        <v>1741</v>
      </c>
      <c r="D113" s="1555"/>
      <c r="E113" s="470" t="str">
        <f>FHD_NUM_P_73</f>
        <v/>
      </c>
      <c r="F113" s="622" t="str">
        <f>FHD_P_73</f>
        <v/>
      </c>
      <c r="G113" s="882" t="s">
        <v>1740</v>
      </c>
      <c r="H113" s="880"/>
      <c r="I113" s="880"/>
      <c r="J113" s="880"/>
      <c r="K113" s="880"/>
      <c r="L113" s="467"/>
    </row>
    <row r="114" spans="1:32" ht="33.75" customHeight="1">
      <c r="A114" s="901" t="s">
        <v>1742</v>
      </c>
      <c r="D114" s="1555"/>
      <c r="E114" s="470" t="str">
        <f>FHD_NUM_P_74</f>
        <v>13</v>
      </c>
      <c r="F114" s="622" t="str">
        <f>FHD_P_74</f>
        <v>Удельный расход электрической энергии на подачу воды в сеть</v>
      </c>
      <c r="G114" s="881" t="s">
        <v>1743</v>
      </c>
      <c r="H114" s="498"/>
      <c r="I114" s="498"/>
      <c r="J114" s="498"/>
      <c r="K114" s="498"/>
      <c r="L114" s="467"/>
    </row>
    <row r="115" spans="1:32" s="1552" customFormat="1" ht="18.75" customHeight="1">
      <c r="A115" s="2192" t="s">
        <v>1744</v>
      </c>
      <c r="B115" s="825"/>
      <c r="C115" s="651"/>
      <c r="D115" s="649"/>
      <c r="E115" s="470" t="str">
        <f>FHD_NUM_P_75</f>
        <v>14</v>
      </c>
      <c r="F115" s="622" t="str">
        <f>FHD_P_75</f>
        <v>Расход воды на собственные нужды, в том числе:</v>
      </c>
      <c r="G115" s="881" t="s">
        <v>1632</v>
      </c>
      <c r="H115" s="479"/>
      <c r="I115" s="479"/>
      <c r="J115" s="479"/>
      <c r="K115" s="479"/>
      <c r="L115" s="650"/>
      <c r="M115" s="651"/>
      <c r="N115" s="651"/>
      <c r="O115" s="825"/>
      <c r="P115" s="825"/>
      <c r="Q115" s="825"/>
      <c r="R115" s="825"/>
      <c r="S115" s="651"/>
      <c r="T115" s="825"/>
      <c r="U115" s="825"/>
      <c r="V115" s="652"/>
      <c r="W115" s="825"/>
      <c r="X115" s="825"/>
      <c r="Y115" s="825"/>
      <c r="Z115" s="825"/>
      <c r="AA115" s="825"/>
      <c r="AB115" s="653"/>
      <c r="AC115" s="653"/>
      <c r="AD115" s="653"/>
      <c r="AE115" s="653"/>
      <c r="AF115" s="653"/>
    </row>
    <row r="116" spans="1:32" s="1552" customFormat="1" ht="18.75" customHeight="1">
      <c r="A116" s="2192"/>
      <c r="B116" s="825"/>
      <c r="C116" s="651"/>
      <c r="D116" s="649"/>
      <c r="E116" s="470" t="str">
        <f>FHD_NUM_P_76</f>
        <v>14.1</v>
      </c>
      <c r="F116" s="622" t="str">
        <f>FHD_P_76</f>
        <v>Расход воды на хозяйственно-бытовые нужды</v>
      </c>
      <c r="G116" s="881" t="s">
        <v>1632</v>
      </c>
      <c r="H116" s="479"/>
      <c r="I116" s="479"/>
      <c r="J116" s="479"/>
      <c r="K116" s="479"/>
      <c r="L116" s="650"/>
      <c r="M116" s="651"/>
      <c r="N116" s="651"/>
      <c r="O116" s="825"/>
      <c r="P116" s="825"/>
      <c r="Q116" s="825"/>
      <c r="R116" s="825"/>
      <c r="S116" s="651"/>
      <c r="T116" s="825"/>
      <c r="U116" s="825"/>
      <c r="V116" s="652"/>
      <c r="W116" s="825"/>
      <c r="X116" s="825"/>
      <c r="Y116" s="825"/>
      <c r="Z116" s="825"/>
      <c r="AA116" s="825"/>
      <c r="AB116" s="653"/>
      <c r="AC116" s="653"/>
      <c r="AD116" s="653"/>
      <c r="AE116" s="653"/>
      <c r="AF116" s="653"/>
    </row>
    <row r="117" spans="1:32" s="1552" customFormat="1" ht="18.75" customHeight="1">
      <c r="A117" s="2192"/>
      <c r="B117" s="825"/>
      <c r="C117" s="651"/>
      <c r="D117" s="649"/>
      <c r="E117" s="470" t="str">
        <f>FHD_NUM_P_77</f>
        <v>15</v>
      </c>
      <c r="F117" s="622" t="str">
        <f>FHD_P_77</f>
        <v>Показатель использования производственных объектов (по объему перекачки), в том числе:</v>
      </c>
      <c r="G117" s="881" t="s">
        <v>1632</v>
      </c>
      <c r="H117" s="479"/>
      <c r="I117" s="479"/>
      <c r="J117" s="479"/>
      <c r="K117" s="479"/>
      <c r="L117" s="650"/>
      <c r="M117" s="651"/>
      <c r="N117" s="651"/>
      <c r="O117" s="825"/>
      <c r="P117" s="825"/>
      <c r="Q117" s="825"/>
      <c r="R117" s="825"/>
      <c r="S117" s="651"/>
      <c r="T117" s="825"/>
      <c r="U117" s="825"/>
      <c r="V117" s="652"/>
      <c r="W117" s="825"/>
      <c r="X117" s="825"/>
      <c r="Y117" s="825"/>
      <c r="Z117" s="825"/>
      <c r="AA117" s="825"/>
      <c r="AB117" s="653"/>
      <c r="AC117" s="653"/>
      <c r="AD117" s="653"/>
      <c r="AE117" s="653"/>
      <c r="AF117" s="653"/>
    </row>
    <row r="118" spans="1:32" s="1559" customFormat="1" ht="0.75" customHeight="1">
      <c r="A118" s="2192"/>
      <c r="D118" s="472"/>
      <c r="E118" s="715" t="str">
        <f>E117&amp;".0"</f>
        <v>15.0</v>
      </c>
      <c r="F118" s="907"/>
      <c r="G118" s="1568"/>
      <c r="H118" s="904"/>
      <c r="I118" s="904"/>
      <c r="J118" s="904"/>
      <c r="K118" s="904"/>
    </row>
    <row r="119" spans="1:32" s="1552" customFormat="1" ht="15" customHeight="1">
      <c r="A119" s="2192"/>
      <c r="B119" s="825"/>
      <c r="C119" s="651"/>
      <c r="D119" s="660"/>
      <c r="E119" s="885"/>
      <c r="F119" s="886" t="s">
        <v>1745</v>
      </c>
      <c r="G119" s="661"/>
      <c r="H119" s="662"/>
      <c r="I119" s="662"/>
      <c r="J119" s="1825"/>
      <c r="K119" s="1826"/>
      <c r="L119" s="650"/>
      <c r="M119" s="651"/>
      <c r="N119" s="651"/>
      <c r="O119" s="825"/>
      <c r="P119" s="825"/>
      <c r="Q119" s="825"/>
      <c r="R119" s="825"/>
      <c r="S119" s="651"/>
      <c r="T119" s="825"/>
      <c r="U119" s="825"/>
      <c r="V119" s="652"/>
      <c r="W119" s="825"/>
      <c r="X119" s="825"/>
      <c r="Y119" s="825"/>
      <c r="Z119" s="825"/>
      <c r="AA119" s="825"/>
      <c r="AB119" s="653"/>
      <c r="AC119" s="653"/>
      <c r="AD119" s="653"/>
      <c r="AE119" s="653"/>
      <c r="AF119" s="653"/>
    </row>
    <row r="120" spans="1:32" ht="22.5" hidden="1" customHeight="1">
      <c r="A120" s="2192" t="s">
        <v>1746</v>
      </c>
      <c r="D120" s="1555"/>
      <c r="E120" s="470" t="str">
        <f>FHD_NUM_P_78</f>
        <v/>
      </c>
      <c r="F120" s="622" t="str">
        <f>FHD_P_78</f>
        <v/>
      </c>
      <c r="G120" s="1560" t="s">
        <v>1720</v>
      </c>
      <c r="H120" s="498"/>
      <c r="I120" s="498"/>
      <c r="J120" s="498"/>
      <c r="K120" s="498"/>
      <c r="L120" s="467"/>
    </row>
    <row r="121" spans="1:32" s="1559" customFormat="1" ht="0.75" hidden="1" customHeight="1">
      <c r="A121" s="2192"/>
      <c r="D121" s="472"/>
      <c r="E121" s="715" t="str">
        <f>E120&amp;".0"</f>
        <v>.0</v>
      </c>
      <c r="F121" s="907"/>
      <c r="G121" s="1568"/>
      <c r="H121" s="904"/>
      <c r="I121" s="904"/>
      <c r="J121" s="904"/>
      <c r="K121" s="904"/>
    </row>
    <row r="122" spans="1:32" ht="15" hidden="1" customHeight="1">
      <c r="A122" s="2192"/>
      <c r="D122" s="1550"/>
      <c r="E122" s="491"/>
      <c r="F122" s="501" t="s">
        <v>1571</v>
      </c>
      <c r="G122" s="493"/>
      <c r="H122" s="494"/>
      <c r="I122" s="494"/>
      <c r="J122" s="1827"/>
      <c r="K122" s="1828"/>
      <c r="L122" s="467"/>
    </row>
    <row r="123" spans="1:32" ht="22.5" hidden="1" customHeight="1">
      <c r="A123" s="2192"/>
      <c r="D123" s="1555"/>
      <c r="E123" s="470" t="str">
        <f>FHD_NUM_P_79</f>
        <v/>
      </c>
      <c r="F123" s="622" t="str">
        <f>FHD_P_79</f>
        <v/>
      </c>
      <c r="G123" s="1563" t="s">
        <v>1721</v>
      </c>
      <c r="H123" s="498"/>
      <c r="I123" s="498"/>
      <c r="J123" s="498"/>
      <c r="K123" s="498"/>
      <c r="L123" s="467"/>
    </row>
    <row r="124" spans="1:32" s="1559" customFormat="1" ht="0.75" hidden="1" customHeight="1">
      <c r="A124" s="2192"/>
      <c r="D124" s="472"/>
      <c r="E124" s="715" t="str">
        <f>E123&amp;".0"</f>
        <v>.0</v>
      </c>
      <c r="F124" s="908"/>
      <c r="G124" s="1568"/>
      <c r="H124" s="904"/>
      <c r="I124" s="904"/>
      <c r="J124" s="904"/>
      <c r="K124" s="904"/>
    </row>
    <row r="125" spans="1:32" ht="15" hidden="1" customHeight="1">
      <c r="A125" s="2192"/>
      <c r="D125" s="1550"/>
      <c r="E125" s="491"/>
      <c r="F125" s="501" t="s">
        <v>1571</v>
      </c>
      <c r="G125" s="493"/>
      <c r="H125" s="494"/>
      <c r="I125" s="494"/>
      <c r="J125" s="1829"/>
      <c r="K125" s="1830"/>
      <c r="L125" s="467"/>
    </row>
    <row r="126" spans="1:32" ht="22.5" hidden="1" customHeight="1">
      <c r="A126" s="2192"/>
      <c r="D126" s="1555"/>
      <c r="E126" s="470" t="str">
        <f>FHD_NUM_P_80</f>
        <v/>
      </c>
      <c r="F126" s="622" t="str">
        <f>FHD_P_80</f>
        <v/>
      </c>
      <c r="G126" s="1563" t="s">
        <v>1747</v>
      </c>
      <c r="H126" s="479"/>
      <c r="I126" s="479"/>
      <c r="J126" s="479"/>
      <c r="K126" s="479"/>
      <c r="L126" s="467"/>
    </row>
    <row r="127" spans="1:32" ht="18.75" hidden="1" customHeight="1">
      <c r="A127" s="2192"/>
      <c r="D127" s="1555"/>
      <c r="E127" s="470" t="str">
        <f>FHD_NUM_P_81</f>
        <v/>
      </c>
      <c r="F127" s="622" t="str">
        <f>FHD_P_81</f>
        <v/>
      </c>
      <c r="G127" s="1563" t="s">
        <v>1748</v>
      </c>
      <c r="H127" s="479"/>
      <c r="I127" s="479"/>
      <c r="J127" s="479"/>
      <c r="K127" s="479"/>
      <c r="L127" s="467"/>
    </row>
    <row r="128" spans="1:32" ht="18.75" hidden="1" customHeight="1">
      <c r="A128" s="2192"/>
      <c r="C128" s="1553" t="s">
        <v>1738</v>
      </c>
      <c r="D128" s="1555"/>
      <c r="E128" s="470" t="str">
        <f>FHD_NUM_P_82</f>
        <v/>
      </c>
      <c r="F128" s="622" t="str">
        <f>FHD_P_82</f>
        <v/>
      </c>
      <c r="G128" s="1563" t="s">
        <v>297</v>
      </c>
      <c r="H128" s="331"/>
      <c r="I128" s="331"/>
      <c r="J128" s="731"/>
      <c r="K128" s="731"/>
      <c r="L128" s="467"/>
    </row>
    <row r="129" spans="1:32" ht="18.75" hidden="1" customHeight="1">
      <c r="A129" s="2192"/>
      <c r="C129" s="1553" t="s">
        <v>1738</v>
      </c>
      <c r="D129" s="1555"/>
      <c r="E129" s="470" t="str">
        <f>FHD_NUM_P_83</f>
        <v/>
      </c>
      <c r="F129" s="866" t="str">
        <f>FHD_P_83</f>
        <v/>
      </c>
      <c r="G129" s="1563" t="s">
        <v>297</v>
      </c>
      <c r="H129" s="331"/>
      <c r="I129" s="331"/>
      <c r="J129" s="731"/>
      <c r="K129" s="731"/>
      <c r="L129" s="467"/>
    </row>
    <row r="130" spans="1:32" ht="18.75" hidden="1" customHeight="1">
      <c r="A130" s="2192"/>
      <c r="C130" s="1553" t="s">
        <v>1738</v>
      </c>
      <c r="D130" s="1555"/>
      <c r="E130" s="470" t="str">
        <f>FHD_NUM_P_84</f>
        <v/>
      </c>
      <c r="F130" s="866" t="str">
        <f>FHD_P_84</f>
        <v/>
      </c>
      <c r="G130" s="1563" t="s">
        <v>297</v>
      </c>
      <c r="H130" s="331"/>
      <c r="I130" s="331"/>
      <c r="J130" s="731"/>
      <c r="K130" s="731"/>
      <c r="L130" s="467"/>
    </row>
    <row r="131" spans="1:32" ht="11.25" customHeight="1">
      <c r="D131" s="1555"/>
    </row>
    <row r="132" spans="1:32" ht="12.75" customHeight="1">
      <c r="D132" s="1555"/>
      <c r="E132" s="258"/>
      <c r="F132" s="293"/>
      <c r="G132" s="293"/>
      <c r="H132" s="293"/>
      <c r="I132" s="1564"/>
      <c r="J132" s="1604"/>
      <c r="K132" s="1604"/>
    </row>
    <row r="133" spans="1:32" s="1558" customFormat="1" ht="11.25" customHeight="1">
      <c r="A133" s="899"/>
      <c r="B133" s="1553"/>
      <c r="C133" s="1553"/>
      <c r="D133" s="272"/>
      <c r="F133" s="1557"/>
      <c r="G133" s="1548"/>
      <c r="H133" s="1548"/>
      <c r="I133" s="1548"/>
      <c r="J133" s="1552"/>
      <c r="K133" s="1552"/>
      <c r="L133" s="1062"/>
      <c r="M133" s="1553"/>
      <c r="N133" s="1553"/>
      <c r="O133" s="1062"/>
      <c r="P133" s="1062"/>
      <c r="Q133" s="1062"/>
      <c r="R133" s="1062"/>
      <c r="S133" s="1553"/>
      <c r="T133" s="1062"/>
      <c r="U133" s="1062"/>
      <c r="V133" s="468"/>
      <c r="W133" s="1062"/>
      <c r="X133" s="1062"/>
      <c r="Y133" s="1062"/>
      <c r="Z133" s="1062"/>
      <c r="AA133" s="1062"/>
      <c r="AB133" s="1549"/>
      <c r="AC133" s="487"/>
      <c r="AD133" s="487"/>
      <c r="AE133" s="487"/>
      <c r="AF133" s="487"/>
    </row>
    <row r="134" spans="1:32" s="1558" customFormat="1" ht="11.25" customHeight="1">
      <c r="A134" s="899"/>
      <c r="B134" s="1553"/>
      <c r="C134" s="1553"/>
      <c r="D134" s="272"/>
      <c r="L134" s="1062"/>
      <c r="M134" s="1553"/>
      <c r="N134" s="1553"/>
      <c r="O134" s="1062"/>
      <c r="P134" s="1062"/>
      <c r="Q134" s="1062"/>
      <c r="R134" s="1062"/>
      <c r="S134" s="1553"/>
      <c r="T134" s="1062"/>
      <c r="U134" s="1062"/>
      <c r="V134" s="468"/>
      <c r="W134" s="1062"/>
      <c r="X134" s="1062"/>
      <c r="Y134" s="1062"/>
      <c r="Z134" s="1062"/>
      <c r="AA134" s="1062"/>
      <c r="AB134" s="1549"/>
      <c r="AC134" s="487"/>
      <c r="AD134" s="487"/>
      <c r="AE134" s="487"/>
      <c r="AF134" s="487"/>
    </row>
    <row r="135" spans="1:32" s="1558" customFormat="1" ht="11.25" customHeight="1">
      <c r="A135" s="899"/>
      <c r="B135" s="1553"/>
      <c r="C135" s="1553"/>
      <c r="D135" s="272"/>
      <c r="L135" s="1062"/>
      <c r="M135" s="1553"/>
      <c r="N135" s="1553"/>
      <c r="O135" s="1062"/>
      <c r="P135" s="1062"/>
      <c r="Q135" s="1062"/>
      <c r="R135" s="1062"/>
      <c r="S135" s="1553"/>
      <c r="T135" s="1062"/>
      <c r="U135" s="1062"/>
      <c r="V135" s="468"/>
      <c r="W135" s="1062"/>
      <c r="X135" s="1062"/>
      <c r="Y135" s="1062"/>
      <c r="Z135" s="1062"/>
      <c r="AA135" s="1062"/>
      <c r="AB135" s="1549"/>
      <c r="AC135" s="487"/>
      <c r="AD135" s="487"/>
      <c r="AE135" s="487"/>
      <c r="AF135" s="487"/>
    </row>
    <row r="136" spans="1:32" s="1558" customFormat="1" ht="11.25" customHeight="1">
      <c r="A136" s="899"/>
      <c r="B136" s="1553"/>
      <c r="C136" s="1553"/>
      <c r="D136" s="272"/>
      <c r="H136" s="487" t="str">
        <f>IF(H30-H31&lt;&gt;H72,"WARNING","")</f>
        <v/>
      </c>
      <c r="I136" s="487" t="str">
        <f>IF(I30-I31&lt;&gt;I72,"WARNING","")</f>
        <v/>
      </c>
      <c r="J136" s="539" t="str">
        <f>IF(J30-J31&lt;&gt;J72,"WARNING","")</f>
        <v/>
      </c>
      <c r="K136" s="539" t="str">
        <f>IF(K30-K31&lt;&gt;K72,"WARNING","")</f>
        <v/>
      </c>
      <c r="L136" s="1062"/>
      <c r="M136" s="1553"/>
      <c r="N136" s="1553"/>
      <c r="O136" s="1062"/>
      <c r="P136" s="1062"/>
      <c r="Q136" s="1062"/>
      <c r="R136" s="1062"/>
      <c r="S136" s="1553"/>
      <c r="T136" s="1062"/>
      <c r="U136" s="1062"/>
      <c r="V136" s="468"/>
      <c r="W136" s="1062"/>
      <c r="X136" s="1062"/>
      <c r="Y136" s="1062"/>
      <c r="Z136" s="1062"/>
      <c r="AA136" s="1062"/>
      <c r="AB136" s="1549"/>
      <c r="AC136" s="487"/>
      <c r="AD136" s="487"/>
      <c r="AE136" s="487"/>
      <c r="AF136" s="487"/>
    </row>
    <row r="137" spans="1:32" s="1558" customFormat="1" ht="11.25" customHeight="1">
      <c r="A137" s="899"/>
      <c r="B137" s="1553"/>
      <c r="C137" s="1553"/>
      <c r="D137" s="272"/>
      <c r="L137" s="1062"/>
      <c r="M137" s="1553"/>
      <c r="N137" s="1553"/>
      <c r="O137" s="1062"/>
      <c r="P137" s="1062"/>
      <c r="Q137" s="1062"/>
      <c r="R137" s="1062"/>
      <c r="S137" s="1553"/>
      <c r="T137" s="1062"/>
      <c r="U137" s="1062"/>
      <c r="V137" s="468"/>
      <c r="W137" s="1062"/>
      <c r="X137" s="1062"/>
      <c r="Y137" s="1062"/>
      <c r="Z137" s="1062"/>
      <c r="AA137" s="1062"/>
      <c r="AB137" s="1549"/>
      <c r="AC137" s="487"/>
      <c r="AD137" s="487"/>
      <c r="AE137" s="487"/>
      <c r="AF137" s="487"/>
    </row>
    <row r="138" spans="1:32" s="1558" customFormat="1" ht="11.25" customHeight="1">
      <c r="A138" s="899"/>
      <c r="B138" s="1553"/>
      <c r="C138" s="1553"/>
      <c r="D138" s="272"/>
      <c r="L138" s="1062"/>
      <c r="M138" s="1553"/>
      <c r="N138" s="1553"/>
      <c r="O138" s="1062"/>
      <c r="P138" s="1062"/>
      <c r="Q138" s="1062"/>
      <c r="R138" s="1062"/>
      <c r="S138" s="1553"/>
      <c r="T138" s="1062"/>
      <c r="U138" s="1062"/>
      <c r="V138" s="468"/>
      <c r="W138" s="1062"/>
      <c r="X138" s="1062"/>
      <c r="Y138" s="1062"/>
      <c r="Z138" s="1062"/>
      <c r="AA138" s="1062"/>
      <c r="AB138" s="1549"/>
      <c r="AC138" s="487"/>
      <c r="AD138" s="487"/>
      <c r="AE138" s="487"/>
      <c r="AF138" s="487"/>
    </row>
    <row r="139" spans="1:32" s="1558" customFormat="1" ht="11.25" customHeight="1">
      <c r="A139" s="899"/>
      <c r="B139" s="1553"/>
      <c r="C139" s="1553"/>
      <c r="D139" s="272"/>
      <c r="L139" s="1062"/>
      <c r="M139" s="1553"/>
      <c r="N139" s="1553"/>
      <c r="O139" s="1062"/>
      <c r="P139" s="1062"/>
      <c r="Q139" s="1062"/>
      <c r="R139" s="1062"/>
      <c r="S139" s="1553"/>
      <c r="T139" s="1062"/>
      <c r="U139" s="1062"/>
      <c r="V139" s="468"/>
      <c r="W139" s="1062"/>
      <c r="X139" s="1062"/>
      <c r="Y139" s="1062"/>
      <c r="Z139" s="1062"/>
      <c r="AA139" s="1062"/>
      <c r="AB139" s="1549"/>
      <c r="AC139" s="487"/>
      <c r="AD139" s="487"/>
      <c r="AE139" s="487"/>
      <c r="AF139" s="487"/>
    </row>
    <row r="140" spans="1:32" s="1558" customFormat="1" ht="11.25" customHeight="1">
      <c r="A140" s="899"/>
      <c r="B140" s="1553"/>
      <c r="C140" s="1553"/>
      <c r="D140" s="272"/>
      <c r="L140" s="1062"/>
      <c r="M140" s="1553"/>
      <c r="N140" s="1553"/>
      <c r="O140" s="1062"/>
      <c r="P140" s="1062"/>
      <c r="Q140" s="1062"/>
      <c r="R140" s="1062"/>
      <c r="S140" s="1553"/>
      <c r="T140" s="1062"/>
      <c r="U140" s="1062"/>
      <c r="V140" s="468"/>
      <c r="W140" s="1062"/>
      <c r="X140" s="1062"/>
      <c r="Y140" s="1062"/>
      <c r="Z140" s="1062"/>
      <c r="AA140" s="1062"/>
      <c r="AB140" s="1549"/>
      <c r="AC140" s="487"/>
      <c r="AD140" s="487"/>
      <c r="AE140" s="487"/>
      <c r="AF140" s="487"/>
    </row>
    <row r="141" spans="1:32" s="1558" customFormat="1" ht="11.25" customHeight="1">
      <c r="A141" s="899"/>
      <c r="B141" s="1553"/>
      <c r="C141" s="1553"/>
      <c r="D141" s="272"/>
      <c r="L141" s="1062"/>
      <c r="M141" s="1553"/>
      <c r="N141" s="1553"/>
      <c r="O141" s="1062"/>
      <c r="P141" s="1062"/>
      <c r="Q141" s="1062"/>
      <c r="R141" s="1062"/>
      <c r="S141" s="1553"/>
      <c r="T141" s="1062"/>
      <c r="U141" s="1062"/>
      <c r="V141" s="468"/>
      <c r="W141" s="1062"/>
      <c r="X141" s="1062"/>
      <c r="Y141" s="1062"/>
      <c r="Z141" s="1062"/>
      <c r="AA141" s="1062"/>
      <c r="AB141" s="1549"/>
      <c r="AC141" s="487"/>
      <c r="AD141" s="487"/>
      <c r="AE141" s="487"/>
      <c r="AF141" s="487"/>
    </row>
    <row r="142" spans="1:32" s="1558" customFormat="1" ht="11.25" customHeight="1">
      <c r="A142" s="899"/>
      <c r="B142" s="1553"/>
      <c r="C142" s="1553"/>
      <c r="D142" s="272"/>
      <c r="L142" s="1062"/>
      <c r="M142" s="1553"/>
      <c r="N142" s="1553"/>
      <c r="O142" s="1062"/>
      <c r="P142" s="1062"/>
      <c r="Q142" s="1062"/>
      <c r="R142" s="1062"/>
      <c r="S142" s="1553"/>
      <c r="T142" s="1062"/>
      <c r="U142" s="1062"/>
      <c r="V142" s="468"/>
      <c r="W142" s="1062"/>
      <c r="X142" s="1062"/>
      <c r="Y142" s="1062"/>
      <c r="Z142" s="1062"/>
      <c r="AA142" s="1062"/>
      <c r="AB142" s="1549"/>
      <c r="AC142" s="487"/>
      <c r="AD142" s="487"/>
      <c r="AE142" s="487"/>
      <c r="AF142" s="487"/>
    </row>
    <row r="143" spans="1:32" s="1558" customFormat="1" ht="11.25" customHeight="1">
      <c r="A143" s="899"/>
      <c r="B143" s="1553"/>
      <c r="C143" s="1553"/>
      <c r="D143" s="272"/>
      <c r="L143" s="1062"/>
      <c r="M143" s="1553"/>
      <c r="N143" s="1553"/>
      <c r="O143" s="1062"/>
      <c r="P143" s="1062"/>
      <c r="Q143" s="1062"/>
      <c r="R143" s="1062"/>
      <c r="S143" s="1553"/>
      <c r="T143" s="1062"/>
      <c r="U143" s="1062"/>
      <c r="V143" s="468"/>
      <c r="W143" s="1062"/>
      <c r="X143" s="1062"/>
      <c r="Y143" s="1062"/>
      <c r="Z143" s="1062"/>
      <c r="AA143" s="1062"/>
      <c r="AB143" s="1549"/>
      <c r="AC143" s="487"/>
      <c r="AD143" s="487"/>
      <c r="AE143" s="487"/>
      <c r="AF143" s="487"/>
    </row>
    <row r="144" spans="1:32" s="1558" customFormat="1" ht="11.25" customHeight="1">
      <c r="A144" s="899"/>
      <c r="B144" s="1553"/>
      <c r="C144" s="1553"/>
      <c r="D144" s="272"/>
      <c r="L144" s="1062"/>
      <c r="M144" s="1553"/>
      <c r="N144" s="1553"/>
      <c r="O144" s="1062"/>
      <c r="P144" s="1062"/>
      <c r="Q144" s="1062"/>
      <c r="R144" s="1062"/>
      <c r="S144" s="1553"/>
      <c r="T144" s="1062"/>
      <c r="U144" s="1062"/>
      <c r="V144" s="468"/>
      <c r="W144" s="1062"/>
      <c r="X144" s="1062"/>
      <c r="Y144" s="1062"/>
      <c r="Z144" s="1062"/>
      <c r="AA144" s="1062"/>
      <c r="AB144" s="1549"/>
      <c r="AC144" s="487"/>
      <c r="AD144" s="487"/>
      <c r="AE144" s="487"/>
      <c r="AF144" s="487"/>
    </row>
    <row r="145" spans="1:32" s="1558" customFormat="1" ht="11.25" customHeight="1">
      <c r="A145" s="899"/>
      <c r="B145" s="1553"/>
      <c r="C145" s="1553"/>
      <c r="D145" s="272"/>
      <c r="L145" s="1062"/>
      <c r="M145" s="1553"/>
      <c r="N145" s="1553"/>
      <c r="O145" s="1062"/>
      <c r="P145" s="1062"/>
      <c r="Q145" s="1062"/>
      <c r="R145" s="1062"/>
      <c r="S145" s="1553"/>
      <c r="T145" s="1062"/>
      <c r="U145" s="1062"/>
      <c r="V145" s="468"/>
      <c r="W145" s="1062"/>
      <c r="X145" s="1062"/>
      <c r="Y145" s="1062"/>
      <c r="Z145" s="1062"/>
      <c r="AA145" s="1062"/>
      <c r="AB145" s="1549"/>
      <c r="AC145" s="487"/>
      <c r="AD145" s="487"/>
      <c r="AE145" s="487"/>
      <c r="AF145" s="487"/>
    </row>
    <row r="146" spans="1:32" s="1558" customFormat="1" ht="11.25" customHeight="1">
      <c r="A146" s="899"/>
      <c r="B146" s="1553"/>
      <c r="C146" s="1553"/>
      <c r="D146" s="272"/>
      <c r="L146" s="1062"/>
      <c r="M146" s="1553"/>
      <c r="N146" s="1553"/>
      <c r="O146" s="1062"/>
      <c r="P146" s="1062"/>
      <c r="Q146" s="1062"/>
      <c r="R146" s="1062"/>
      <c r="S146" s="1553"/>
      <c r="T146" s="1062"/>
      <c r="U146" s="1062"/>
      <c r="V146" s="468"/>
      <c r="W146" s="1062"/>
      <c r="X146" s="1062"/>
      <c r="Y146" s="1062"/>
      <c r="Z146" s="1062"/>
      <c r="AA146" s="1062"/>
      <c r="AB146" s="1549"/>
      <c r="AC146" s="487"/>
      <c r="AD146" s="487"/>
      <c r="AE146" s="487"/>
      <c r="AF146" s="487"/>
    </row>
    <row r="147" spans="1:32" s="1558" customFormat="1" ht="11.25" customHeight="1">
      <c r="A147" s="899"/>
      <c r="B147" s="1553"/>
      <c r="C147" s="1553"/>
      <c r="D147" s="272"/>
      <c r="L147" s="1062"/>
      <c r="M147" s="1553"/>
      <c r="N147" s="1553"/>
      <c r="O147" s="1062"/>
      <c r="P147" s="1062"/>
      <c r="Q147" s="1062"/>
      <c r="R147" s="1062"/>
      <c r="S147" s="1553"/>
      <c r="T147" s="1062"/>
      <c r="U147" s="1062"/>
      <c r="V147" s="468"/>
      <c r="W147" s="1062"/>
      <c r="X147" s="1062"/>
      <c r="Y147" s="1062"/>
      <c r="Z147" s="1062"/>
      <c r="AA147" s="1062"/>
      <c r="AB147" s="1549"/>
      <c r="AC147" s="487"/>
      <c r="AD147" s="487"/>
      <c r="AE147" s="487"/>
      <c r="AF147" s="487"/>
    </row>
    <row r="148" spans="1:32" s="1558" customFormat="1" ht="11.25" customHeight="1">
      <c r="A148" s="899"/>
      <c r="B148" s="1553"/>
      <c r="C148" s="1553"/>
      <c r="D148" s="272"/>
      <c r="L148" s="1062"/>
      <c r="M148" s="1553"/>
      <c r="N148" s="1553"/>
      <c r="O148" s="1062"/>
      <c r="P148" s="1062"/>
      <c r="Q148" s="1062"/>
      <c r="R148" s="1062"/>
      <c r="S148" s="1553"/>
      <c r="T148" s="1062"/>
      <c r="U148" s="1062"/>
      <c r="V148" s="468"/>
      <c r="W148" s="1062"/>
      <c r="X148" s="1062"/>
      <c r="Y148" s="1062"/>
      <c r="Z148" s="1062"/>
      <c r="AA148" s="1062"/>
      <c r="AB148" s="1549"/>
      <c r="AC148" s="487"/>
      <c r="AD148" s="487"/>
      <c r="AE148" s="487"/>
      <c r="AF148" s="487"/>
    </row>
    <row r="149" spans="1:32" s="1558" customFormat="1" ht="11.25" customHeight="1">
      <c r="A149" s="899"/>
      <c r="B149" s="1553"/>
      <c r="C149" s="1553"/>
      <c r="D149" s="272"/>
      <c r="L149" s="1062"/>
      <c r="M149" s="1553"/>
      <c r="N149" s="1553"/>
      <c r="O149" s="1062"/>
      <c r="P149" s="1062"/>
      <c r="Q149" s="1062"/>
      <c r="R149" s="1062"/>
      <c r="S149" s="1553"/>
      <c r="T149" s="1062"/>
      <c r="U149" s="1062"/>
      <c r="V149" s="468"/>
      <c r="W149" s="1062"/>
      <c r="X149" s="1062"/>
      <c r="Y149" s="1062"/>
      <c r="Z149" s="1062"/>
      <c r="AA149" s="1062"/>
      <c r="AB149" s="1549"/>
      <c r="AC149" s="487"/>
      <c r="AD149" s="487"/>
      <c r="AE149" s="487"/>
      <c r="AF149" s="487"/>
    </row>
    <row r="150" spans="1:32" s="1558" customFormat="1" ht="11.25" customHeight="1">
      <c r="A150" s="899"/>
      <c r="B150" s="1553"/>
      <c r="C150" s="1553"/>
      <c r="D150" s="272"/>
      <c r="L150" s="1062"/>
      <c r="M150" s="1553"/>
      <c r="N150" s="1553"/>
      <c r="O150" s="1062"/>
      <c r="P150" s="1062"/>
      <c r="Q150" s="1062"/>
      <c r="R150" s="1062"/>
      <c r="S150" s="1553"/>
      <c r="T150" s="1062"/>
      <c r="U150" s="1062"/>
      <c r="V150" s="468"/>
      <c r="W150" s="1062"/>
      <c r="X150" s="1062"/>
      <c r="Y150" s="1062"/>
      <c r="Z150" s="1062"/>
      <c r="AA150" s="1062"/>
      <c r="AB150" s="1549"/>
      <c r="AC150" s="487"/>
      <c r="AD150" s="487"/>
      <c r="AE150" s="487"/>
      <c r="AF150" s="487"/>
    </row>
    <row r="151" spans="1:32" s="1558" customFormat="1" ht="11.25" customHeight="1">
      <c r="A151" s="899"/>
      <c r="B151" s="1553"/>
      <c r="C151" s="1553"/>
      <c r="D151" s="272"/>
      <c r="L151" s="1062"/>
      <c r="M151" s="1553"/>
      <c r="N151" s="1553"/>
      <c r="O151" s="1062"/>
      <c r="P151" s="1062"/>
      <c r="Q151" s="1062"/>
      <c r="R151" s="1062"/>
      <c r="S151" s="1553"/>
      <c r="T151" s="1062"/>
      <c r="U151" s="1062"/>
      <c r="V151" s="468"/>
      <c r="W151" s="1062"/>
      <c r="X151" s="1062"/>
      <c r="Y151" s="1062"/>
      <c r="Z151" s="1062"/>
      <c r="AA151" s="1062"/>
      <c r="AB151" s="1549"/>
      <c r="AC151" s="487"/>
      <c r="AD151" s="487"/>
      <c r="AE151" s="487"/>
      <c r="AF151" s="487"/>
    </row>
    <row r="152" spans="1:32" s="1558" customFormat="1" ht="11.25" customHeight="1">
      <c r="A152" s="899"/>
      <c r="B152" s="1553"/>
      <c r="C152" s="1553"/>
      <c r="D152" s="272"/>
      <c r="L152" s="1062"/>
      <c r="M152" s="1553"/>
      <c r="N152" s="1553"/>
      <c r="O152" s="1062"/>
      <c r="P152" s="1062"/>
      <c r="Q152" s="1062"/>
      <c r="R152" s="1062"/>
      <c r="S152" s="1553"/>
      <c r="T152" s="1062"/>
      <c r="U152" s="1062"/>
      <c r="V152" s="468"/>
      <c r="W152" s="1062"/>
      <c r="X152" s="1062"/>
      <c r="Y152" s="1062"/>
      <c r="Z152" s="1062"/>
      <c r="AA152" s="1062"/>
      <c r="AB152" s="1549"/>
      <c r="AC152" s="487"/>
      <c r="AD152" s="487"/>
      <c r="AE152" s="487"/>
      <c r="AF152" s="487"/>
    </row>
    <row r="153" spans="1:32" s="1558" customFormat="1" ht="11.25" customHeight="1">
      <c r="A153" s="899"/>
      <c r="B153" s="1553"/>
      <c r="C153" s="1553"/>
      <c r="D153" s="272"/>
      <c r="L153" s="1062"/>
      <c r="M153" s="1553"/>
      <c r="N153" s="1553"/>
      <c r="O153" s="1062"/>
      <c r="P153" s="1062"/>
      <c r="Q153" s="1062"/>
      <c r="R153" s="1062"/>
      <c r="S153" s="1553"/>
      <c r="T153" s="1062"/>
      <c r="U153" s="1062"/>
      <c r="V153" s="468"/>
      <c r="W153" s="1062"/>
      <c r="X153" s="1062"/>
      <c r="Y153" s="1062"/>
      <c r="Z153" s="1062"/>
      <c r="AA153" s="1062"/>
      <c r="AB153" s="1549"/>
      <c r="AC153" s="487"/>
      <c r="AD153" s="487"/>
      <c r="AE153" s="487"/>
      <c r="AF153" s="487"/>
    </row>
    <row r="154" spans="1:32" s="1558" customFormat="1" ht="11.25" customHeight="1">
      <c r="A154" s="899"/>
      <c r="B154" s="1553"/>
      <c r="C154" s="1553"/>
      <c r="D154" s="272"/>
      <c r="L154" s="1062"/>
      <c r="M154" s="1553"/>
      <c r="N154" s="1553"/>
      <c r="O154" s="1062"/>
      <c r="P154" s="1062"/>
      <c r="Q154" s="1062"/>
      <c r="R154" s="1062"/>
      <c r="S154" s="1553"/>
      <c r="T154" s="1062"/>
      <c r="U154" s="1062"/>
      <c r="V154" s="468"/>
      <c r="W154" s="1062"/>
      <c r="X154" s="1062"/>
      <c r="Y154" s="1062"/>
      <c r="Z154" s="1062"/>
      <c r="AA154" s="1062"/>
      <c r="AB154" s="1549"/>
      <c r="AC154" s="487"/>
      <c r="AD154" s="487"/>
      <c r="AE154" s="487"/>
      <c r="AF154" s="487"/>
    </row>
    <row r="155" spans="1:32" s="1558" customFormat="1" ht="11.25" customHeight="1">
      <c r="A155" s="899"/>
      <c r="B155" s="1553"/>
      <c r="C155" s="1553"/>
      <c r="D155" s="272"/>
      <c r="L155" s="1062"/>
      <c r="M155" s="1553"/>
      <c r="N155" s="1553"/>
      <c r="O155" s="1062"/>
      <c r="P155" s="1062"/>
      <c r="Q155" s="1062"/>
      <c r="R155" s="1062"/>
      <c r="S155" s="1553"/>
      <c r="T155" s="1062"/>
      <c r="U155" s="1062"/>
      <c r="V155" s="468"/>
      <c r="W155" s="1062"/>
      <c r="X155" s="1062"/>
      <c r="Y155" s="1062"/>
      <c r="Z155" s="1062"/>
      <c r="AA155" s="1062"/>
      <c r="AB155" s="1549"/>
      <c r="AC155" s="487"/>
      <c r="AD155" s="487"/>
      <c r="AE155" s="487"/>
      <c r="AF155" s="487"/>
    </row>
    <row r="156" spans="1:32" s="1558" customFormat="1" ht="11.25" customHeight="1">
      <c r="A156" s="899"/>
      <c r="B156" s="1553"/>
      <c r="C156" s="1553"/>
      <c r="D156" s="272"/>
      <c r="L156" s="1062"/>
      <c r="M156" s="1553"/>
      <c r="N156" s="1553"/>
      <c r="O156" s="1062"/>
      <c r="P156" s="1062"/>
      <c r="Q156" s="1062"/>
      <c r="R156" s="1062"/>
      <c r="S156" s="1553"/>
      <c r="T156" s="1062"/>
      <c r="U156" s="1062"/>
      <c r="V156" s="468"/>
      <c r="W156" s="1062"/>
      <c r="X156" s="1062"/>
      <c r="Y156" s="1062"/>
      <c r="Z156" s="1062"/>
      <c r="AA156" s="1062"/>
      <c r="AB156" s="1549"/>
      <c r="AC156" s="487"/>
      <c r="AD156" s="487"/>
      <c r="AE156" s="487"/>
      <c r="AF156" s="487"/>
    </row>
    <row r="157" spans="1:32" s="1558" customFormat="1" ht="11.25" customHeight="1">
      <c r="A157" s="899"/>
      <c r="B157" s="1553"/>
      <c r="C157" s="1553"/>
      <c r="D157" s="272"/>
      <c r="L157" s="1062"/>
      <c r="M157" s="1553"/>
      <c r="N157" s="1553"/>
      <c r="O157" s="1062"/>
      <c r="P157" s="1062"/>
      <c r="Q157" s="1062"/>
      <c r="R157" s="1062"/>
      <c r="S157" s="1553"/>
      <c r="T157" s="1062"/>
      <c r="U157" s="1062"/>
      <c r="V157" s="468"/>
      <c r="W157" s="1062"/>
      <c r="X157" s="1062"/>
      <c r="Y157" s="1062"/>
      <c r="Z157" s="1062"/>
      <c r="AA157" s="1062"/>
      <c r="AB157" s="1549"/>
      <c r="AC157" s="487"/>
      <c r="AD157" s="487"/>
      <c r="AE157" s="487"/>
      <c r="AF157" s="487"/>
    </row>
    <row r="158" spans="1:32" s="1558" customFormat="1" ht="11.25" customHeight="1">
      <c r="A158" s="899"/>
      <c r="B158" s="1553"/>
      <c r="C158" s="1553"/>
      <c r="D158" s="272"/>
      <c r="L158" s="1062"/>
      <c r="M158" s="1553"/>
      <c r="N158" s="1553"/>
      <c r="O158" s="1062"/>
      <c r="P158" s="1062"/>
      <c r="Q158" s="1062"/>
      <c r="R158" s="1062"/>
      <c r="S158" s="1553"/>
      <c r="T158" s="1062"/>
      <c r="U158" s="1062"/>
      <c r="V158" s="468"/>
      <c r="W158" s="1062"/>
      <c r="X158" s="1062"/>
      <c r="Y158" s="1062"/>
      <c r="Z158" s="1062"/>
      <c r="AA158" s="1062"/>
      <c r="AB158" s="1549"/>
      <c r="AC158" s="487"/>
      <c r="AD158" s="487"/>
      <c r="AE158" s="487"/>
      <c r="AF158" s="487"/>
    </row>
    <row r="159" spans="1:32" s="1558" customFormat="1" ht="11.25" customHeight="1">
      <c r="A159" s="899"/>
      <c r="B159" s="1553"/>
      <c r="C159" s="1553"/>
      <c r="D159" s="272"/>
      <c r="L159" s="1062"/>
      <c r="M159" s="1553"/>
      <c r="N159" s="1553"/>
      <c r="O159" s="1062"/>
      <c r="P159" s="1062"/>
      <c r="Q159" s="1062"/>
      <c r="R159" s="1062"/>
      <c r="S159" s="1553"/>
      <c r="T159" s="1062"/>
      <c r="U159" s="1062"/>
      <c r="V159" s="468"/>
      <c r="W159" s="1062"/>
      <c r="X159" s="1062"/>
      <c r="Y159" s="1062"/>
      <c r="Z159" s="1062"/>
      <c r="AA159" s="1062"/>
      <c r="AB159" s="1549"/>
      <c r="AC159" s="487"/>
      <c r="AD159" s="487"/>
      <c r="AE159" s="487"/>
      <c r="AF159" s="487"/>
    </row>
    <row r="160" spans="1:32" s="1558" customFormat="1" ht="11.25" customHeight="1">
      <c r="A160" s="899"/>
      <c r="B160" s="1553"/>
      <c r="C160" s="1553"/>
      <c r="D160" s="272"/>
      <c r="L160" s="1062"/>
      <c r="M160" s="1553"/>
      <c r="N160" s="1553"/>
      <c r="O160" s="1062"/>
      <c r="P160" s="1062"/>
      <c r="Q160" s="1062"/>
      <c r="R160" s="1062"/>
      <c r="S160" s="1553"/>
      <c r="T160" s="1062"/>
      <c r="U160" s="1062"/>
      <c r="V160" s="468"/>
      <c r="W160" s="1062"/>
      <c r="X160" s="1062"/>
      <c r="Y160" s="1062"/>
      <c r="Z160" s="1062"/>
      <c r="AA160" s="1062"/>
      <c r="AB160" s="1549"/>
      <c r="AC160" s="487"/>
      <c r="AD160" s="487"/>
      <c r="AE160" s="487"/>
      <c r="AF160" s="487"/>
    </row>
    <row r="161" spans="1:32" s="1558" customFormat="1" ht="11.25" customHeight="1">
      <c r="A161" s="899"/>
      <c r="B161" s="1553"/>
      <c r="C161" s="1553"/>
      <c r="D161" s="272"/>
      <c r="L161" s="1062"/>
      <c r="M161" s="1553"/>
      <c r="N161" s="1553"/>
      <c r="O161" s="1062"/>
      <c r="P161" s="1062"/>
      <c r="Q161" s="1062"/>
      <c r="R161" s="1062"/>
      <c r="S161" s="1553"/>
      <c r="T161" s="1062"/>
      <c r="U161" s="1062"/>
      <c r="V161" s="468"/>
      <c r="W161" s="1062"/>
      <c r="X161" s="1062"/>
      <c r="Y161" s="1062"/>
      <c r="Z161" s="1062"/>
      <c r="AA161" s="1062"/>
      <c r="AB161" s="1549"/>
      <c r="AC161" s="487"/>
      <c r="AD161" s="487"/>
      <c r="AE161" s="487"/>
      <c r="AF161" s="487"/>
    </row>
    <row r="162" spans="1:32" s="1558" customFormat="1" ht="11.25" customHeight="1">
      <c r="A162" s="899"/>
      <c r="B162" s="1553"/>
      <c r="C162" s="1553"/>
      <c r="D162" s="272"/>
      <c r="L162" s="1062"/>
      <c r="M162" s="1553"/>
      <c r="N162" s="1553"/>
      <c r="O162" s="1062"/>
      <c r="P162" s="1062"/>
      <c r="Q162" s="1062"/>
      <c r="R162" s="1062"/>
      <c r="S162" s="1553"/>
      <c r="T162" s="1062"/>
      <c r="U162" s="1062"/>
      <c r="V162" s="468"/>
      <c r="W162" s="1062"/>
      <c r="X162" s="1062"/>
      <c r="Y162" s="1062"/>
      <c r="Z162" s="1062"/>
      <c r="AA162" s="1062"/>
      <c r="AB162" s="1549"/>
      <c r="AC162" s="487"/>
      <c r="AD162" s="487"/>
      <c r="AE162" s="487"/>
      <c r="AF162" s="487"/>
    </row>
    <row r="163" spans="1:32" s="1558" customFormat="1" ht="11.25" customHeight="1">
      <c r="A163" s="899"/>
      <c r="B163" s="1553"/>
      <c r="C163" s="1553"/>
      <c r="D163" s="272"/>
      <c r="L163" s="1062"/>
      <c r="M163" s="1553"/>
      <c r="N163" s="1553"/>
      <c r="O163" s="1062"/>
      <c r="P163" s="1062"/>
      <c r="Q163" s="1062"/>
      <c r="R163" s="1062"/>
      <c r="S163" s="1553"/>
      <c r="T163" s="1062"/>
      <c r="U163" s="1062"/>
      <c r="V163" s="468"/>
      <c r="W163" s="1062"/>
      <c r="X163" s="1062"/>
      <c r="Y163" s="1062"/>
      <c r="Z163" s="1062"/>
      <c r="AA163" s="1062"/>
      <c r="AB163" s="1549"/>
      <c r="AC163" s="487"/>
      <c r="AD163" s="487"/>
      <c r="AE163" s="487"/>
      <c r="AF163" s="487"/>
    </row>
    <row r="164" spans="1:32" s="1558" customFormat="1" ht="11.25" customHeight="1">
      <c r="A164" s="899"/>
      <c r="B164" s="1553"/>
      <c r="C164" s="1553"/>
      <c r="D164" s="272"/>
      <c r="L164" s="1062"/>
      <c r="M164" s="1553"/>
      <c r="N164" s="1553"/>
      <c r="O164" s="1062"/>
      <c r="P164" s="1062"/>
      <c r="Q164" s="1062"/>
      <c r="R164" s="1062"/>
      <c r="S164" s="1553"/>
      <c r="T164" s="1062"/>
      <c r="U164" s="1062"/>
      <c r="V164" s="468"/>
      <c r="W164" s="1062"/>
      <c r="X164" s="1062"/>
      <c r="Y164" s="1062"/>
      <c r="Z164" s="1062"/>
      <c r="AA164" s="1062"/>
      <c r="AB164" s="1549"/>
      <c r="AC164" s="487"/>
      <c r="AD164" s="487"/>
      <c r="AE164" s="487"/>
      <c r="AF164" s="487"/>
    </row>
    <row r="165" spans="1:32" s="1558" customFormat="1" ht="11.25" customHeight="1">
      <c r="A165" s="899"/>
      <c r="B165" s="1553"/>
      <c r="C165" s="1553"/>
      <c r="D165" s="272"/>
      <c r="L165" s="1062"/>
      <c r="M165" s="1553"/>
      <c r="N165" s="1553"/>
      <c r="O165" s="1062"/>
      <c r="P165" s="1062"/>
      <c r="Q165" s="1062"/>
      <c r="R165" s="1062"/>
      <c r="S165" s="1553"/>
      <c r="T165" s="1062"/>
      <c r="U165" s="1062"/>
      <c r="V165" s="468"/>
      <c r="W165" s="1062"/>
      <c r="X165" s="1062"/>
      <c r="Y165" s="1062"/>
      <c r="Z165" s="1062"/>
      <c r="AA165" s="1062"/>
      <c r="AB165" s="1549"/>
      <c r="AC165" s="487"/>
      <c r="AD165" s="487"/>
      <c r="AE165" s="487"/>
      <c r="AF165" s="487"/>
    </row>
    <row r="166" spans="1:32" s="1558" customFormat="1" ht="11.25" customHeight="1">
      <c r="A166" s="899"/>
      <c r="B166" s="1553"/>
      <c r="C166" s="1553"/>
      <c r="D166" s="272"/>
      <c r="L166" s="1062"/>
      <c r="M166" s="1553"/>
      <c r="N166" s="1553"/>
      <c r="O166" s="1062"/>
      <c r="P166" s="1062"/>
      <c r="Q166" s="1062"/>
      <c r="R166" s="1062"/>
      <c r="S166" s="1553"/>
      <c r="T166" s="1062"/>
      <c r="U166" s="1062"/>
      <c r="V166" s="468"/>
      <c r="W166" s="1062"/>
      <c r="X166" s="1062"/>
      <c r="Y166" s="1062"/>
      <c r="Z166" s="1062"/>
      <c r="AA166" s="1062"/>
      <c r="AB166" s="1549"/>
      <c r="AC166" s="487"/>
      <c r="AD166" s="487"/>
      <c r="AE166" s="487"/>
      <c r="AF166" s="487"/>
    </row>
    <row r="167" spans="1:32" s="1558" customFormat="1" ht="11.25" customHeight="1">
      <c r="A167" s="899"/>
      <c r="B167" s="1553"/>
      <c r="C167" s="1553"/>
      <c r="D167" s="272"/>
      <c r="L167" s="1062"/>
      <c r="M167" s="1553"/>
      <c r="N167" s="1553"/>
      <c r="O167" s="1062"/>
      <c r="P167" s="1062"/>
      <c r="Q167" s="1062"/>
      <c r="R167" s="1062"/>
      <c r="S167" s="1553"/>
      <c r="T167" s="1062"/>
      <c r="U167" s="1062"/>
      <c r="V167" s="468"/>
      <c r="W167" s="1062"/>
      <c r="X167" s="1062"/>
      <c r="Y167" s="1062"/>
      <c r="Z167" s="1062"/>
      <c r="AA167" s="1062"/>
      <c r="AB167" s="1549"/>
      <c r="AC167" s="487"/>
      <c r="AD167" s="487"/>
      <c r="AE167" s="487"/>
      <c r="AF167" s="487"/>
    </row>
    <row r="168" spans="1:32" s="1558" customFormat="1" ht="11.25" customHeight="1">
      <c r="A168" s="899"/>
      <c r="B168" s="1553"/>
      <c r="C168" s="1553"/>
      <c r="D168" s="272"/>
      <c r="L168" s="1062"/>
      <c r="M168" s="1553"/>
      <c r="N168" s="1553"/>
      <c r="O168" s="1062"/>
      <c r="P168" s="1062"/>
      <c r="Q168" s="1062"/>
      <c r="R168" s="1062"/>
      <c r="S168" s="1553"/>
      <c r="T168" s="1062"/>
      <c r="U168" s="1062"/>
      <c r="V168" s="468"/>
      <c r="W168" s="1062"/>
      <c r="X168" s="1062"/>
      <c r="Y168" s="1062"/>
      <c r="Z168" s="1062"/>
      <c r="AA168" s="1062"/>
      <c r="AB168" s="1549"/>
      <c r="AC168" s="487"/>
      <c r="AD168" s="487"/>
      <c r="AE168" s="487"/>
      <c r="AF168" s="487"/>
    </row>
    <row r="169" spans="1:32" s="1558" customFormat="1" ht="11.25" customHeight="1">
      <c r="A169" s="899"/>
      <c r="B169" s="1553"/>
      <c r="C169" s="1553"/>
      <c r="D169" s="272"/>
      <c r="L169" s="1062"/>
      <c r="M169" s="1553"/>
      <c r="N169" s="1553"/>
      <c r="O169" s="1062"/>
      <c r="P169" s="1062"/>
      <c r="Q169" s="1062"/>
      <c r="R169" s="1062"/>
      <c r="S169" s="1553"/>
      <c r="T169" s="1062"/>
      <c r="U169" s="1062"/>
      <c r="V169" s="468"/>
      <c r="W169" s="1062"/>
      <c r="X169" s="1062"/>
      <c r="Y169" s="1062"/>
      <c r="Z169" s="1062"/>
      <c r="AA169" s="1062"/>
      <c r="AB169" s="1549"/>
      <c r="AC169" s="487"/>
      <c r="AD169" s="487"/>
      <c r="AE169" s="487"/>
      <c r="AF169" s="487"/>
    </row>
    <row r="170" spans="1:32" s="1558" customFormat="1" ht="11.25" customHeight="1">
      <c r="A170" s="899"/>
      <c r="B170" s="1553"/>
      <c r="C170" s="1553"/>
      <c r="D170" s="272"/>
      <c r="L170" s="1062"/>
      <c r="M170" s="1553"/>
      <c r="N170" s="1553"/>
      <c r="O170" s="1062"/>
      <c r="P170" s="1062"/>
      <c r="Q170" s="1062"/>
      <c r="R170" s="1062"/>
      <c r="S170" s="1553"/>
      <c r="T170" s="1062"/>
      <c r="U170" s="1062"/>
      <c r="V170" s="468"/>
      <c r="W170" s="1062"/>
      <c r="X170" s="1062"/>
      <c r="Y170" s="1062"/>
      <c r="Z170" s="1062"/>
      <c r="AA170" s="1062"/>
      <c r="AB170" s="1549"/>
      <c r="AC170" s="487"/>
      <c r="AD170" s="487"/>
      <c r="AE170" s="487"/>
      <c r="AF170" s="487"/>
    </row>
    <row r="171" spans="1:32" s="1558" customFormat="1" ht="11.25" customHeight="1">
      <c r="A171" s="899"/>
      <c r="B171" s="1553"/>
      <c r="C171" s="1553"/>
      <c r="D171" s="272"/>
      <c r="L171" s="1062"/>
      <c r="M171" s="1553"/>
      <c r="N171" s="1553"/>
      <c r="O171" s="1062"/>
      <c r="P171" s="1062"/>
      <c r="Q171" s="1062"/>
      <c r="R171" s="1062"/>
      <c r="S171" s="1553"/>
      <c r="T171" s="1062"/>
      <c r="U171" s="1062"/>
      <c r="V171" s="468"/>
      <c r="W171" s="1062"/>
      <c r="X171" s="1062"/>
      <c r="Y171" s="1062"/>
      <c r="Z171" s="1062"/>
      <c r="AA171" s="1062"/>
      <c r="AB171" s="1549"/>
      <c r="AC171" s="487"/>
      <c r="AD171" s="487"/>
      <c r="AE171" s="487"/>
      <c r="AF171" s="487"/>
    </row>
    <row r="172" spans="1:32" s="1558" customFormat="1" ht="11.25" customHeight="1">
      <c r="A172" s="899"/>
      <c r="B172" s="1553"/>
      <c r="C172" s="1553"/>
      <c r="D172" s="272"/>
      <c r="L172" s="1062"/>
      <c r="M172" s="1553"/>
      <c r="N172" s="1553"/>
      <c r="O172" s="1062"/>
      <c r="P172" s="1062"/>
      <c r="Q172" s="1062"/>
      <c r="R172" s="1062"/>
      <c r="S172" s="1553"/>
      <c r="T172" s="1062"/>
      <c r="U172" s="1062"/>
      <c r="V172" s="468"/>
      <c r="W172" s="1062"/>
      <c r="X172" s="1062"/>
      <c r="Y172" s="1062"/>
      <c r="Z172" s="1062"/>
      <c r="AA172" s="1062"/>
      <c r="AB172" s="1549"/>
      <c r="AC172" s="487"/>
      <c r="AD172" s="487"/>
      <c r="AE172" s="487"/>
      <c r="AF172" s="487"/>
    </row>
    <row r="173" spans="1:32" s="1558" customFormat="1" ht="11.25" customHeight="1">
      <c r="A173" s="899"/>
      <c r="B173" s="1553"/>
      <c r="C173" s="1553"/>
      <c r="D173" s="272"/>
      <c r="L173" s="1062"/>
      <c r="M173" s="1553"/>
      <c r="N173" s="1553"/>
      <c r="O173" s="1062"/>
      <c r="P173" s="1062"/>
      <c r="Q173" s="1062"/>
      <c r="R173" s="1062"/>
      <c r="S173" s="1553"/>
      <c r="T173" s="1062"/>
      <c r="U173" s="1062"/>
      <c r="V173" s="468"/>
      <c r="W173" s="1062"/>
      <c r="X173" s="1062"/>
      <c r="Y173" s="1062"/>
      <c r="Z173" s="1062"/>
      <c r="AA173" s="1062"/>
      <c r="AB173" s="1549"/>
      <c r="AC173" s="487"/>
      <c r="AD173" s="487"/>
      <c r="AE173" s="487"/>
      <c r="AF173" s="487"/>
    </row>
    <row r="174" spans="1:32" s="1558" customFormat="1" ht="11.25" customHeight="1">
      <c r="A174" s="899"/>
      <c r="B174" s="1553"/>
      <c r="C174" s="1553"/>
      <c r="D174" s="272"/>
      <c r="L174" s="1062"/>
      <c r="M174" s="1553"/>
      <c r="N174" s="1553"/>
      <c r="O174" s="1062"/>
      <c r="P174" s="1062"/>
      <c r="Q174" s="1062"/>
      <c r="R174" s="1062"/>
      <c r="S174" s="1553"/>
      <c r="T174" s="1062"/>
      <c r="U174" s="1062"/>
      <c r="V174" s="468"/>
      <c r="W174" s="1062"/>
      <c r="X174" s="1062"/>
      <c r="Y174" s="1062"/>
      <c r="Z174" s="1062"/>
      <c r="AA174" s="1062"/>
      <c r="AB174" s="1549"/>
      <c r="AC174" s="487"/>
      <c r="AD174" s="487"/>
      <c r="AE174" s="487"/>
      <c r="AF174" s="487"/>
    </row>
    <row r="175" spans="1:32" s="1558" customFormat="1" ht="11.25" customHeight="1">
      <c r="A175" s="899"/>
      <c r="B175" s="1553"/>
      <c r="C175" s="1553"/>
      <c r="D175" s="272"/>
      <c r="L175" s="1062"/>
      <c r="M175" s="1553"/>
      <c r="N175" s="1553"/>
      <c r="O175" s="1062"/>
      <c r="P175" s="1062"/>
      <c r="Q175" s="1062"/>
      <c r="R175" s="1062"/>
      <c r="S175" s="1553"/>
      <c r="T175" s="1062"/>
      <c r="U175" s="1062"/>
      <c r="V175" s="468"/>
      <c r="W175" s="1062"/>
      <c r="X175" s="1062"/>
      <c r="Y175" s="1062"/>
      <c r="Z175" s="1062"/>
      <c r="AA175" s="1062"/>
      <c r="AB175" s="1549"/>
      <c r="AC175" s="487"/>
      <c r="AD175" s="487"/>
      <c r="AE175" s="487"/>
      <c r="AF175" s="487"/>
    </row>
    <row r="176" spans="1:32" s="1558" customFormat="1" ht="11.25" customHeight="1">
      <c r="A176" s="899"/>
      <c r="B176" s="1553"/>
      <c r="C176" s="1553"/>
      <c r="D176" s="272"/>
      <c r="L176" s="1062"/>
      <c r="M176" s="1553"/>
      <c r="N176" s="1553"/>
      <c r="O176" s="1062"/>
      <c r="P176" s="1062"/>
      <c r="Q176" s="1062"/>
      <c r="R176" s="1062"/>
      <c r="S176" s="1553"/>
      <c r="T176" s="1062"/>
      <c r="U176" s="1062"/>
      <c r="V176" s="468"/>
      <c r="W176" s="1062"/>
      <c r="X176" s="1062"/>
      <c r="Y176" s="1062"/>
      <c r="Z176" s="1062"/>
      <c r="AA176" s="1062"/>
      <c r="AB176" s="1549"/>
      <c r="AC176" s="487"/>
      <c r="AD176" s="487"/>
      <c r="AE176" s="487"/>
      <c r="AF176" s="487"/>
    </row>
    <row r="177" spans="1:32" s="1558" customFormat="1" ht="11.25" customHeight="1">
      <c r="A177" s="899"/>
      <c r="B177" s="1553"/>
      <c r="C177" s="1553"/>
      <c r="D177" s="272"/>
      <c r="L177" s="1062"/>
      <c r="M177" s="1553"/>
      <c r="N177" s="1553"/>
      <c r="O177" s="1062"/>
      <c r="P177" s="1062"/>
      <c r="Q177" s="1062"/>
      <c r="R177" s="1062"/>
      <c r="S177" s="1553"/>
      <c r="T177" s="1062"/>
      <c r="U177" s="1062"/>
      <c r="V177" s="468"/>
      <c r="W177" s="1062"/>
      <c r="X177" s="1062"/>
      <c r="Y177" s="1062"/>
      <c r="Z177" s="1062"/>
      <c r="AA177" s="1062"/>
      <c r="AB177" s="1549"/>
      <c r="AC177" s="487"/>
      <c r="AD177" s="487"/>
      <c r="AE177" s="487"/>
      <c r="AF177" s="487"/>
    </row>
    <row r="178" spans="1:32" s="1558" customFormat="1" ht="11.25" customHeight="1">
      <c r="A178" s="899"/>
      <c r="B178" s="1553"/>
      <c r="C178" s="1553"/>
      <c r="D178" s="272"/>
      <c r="L178" s="1062"/>
      <c r="M178" s="1553"/>
      <c r="N178" s="1553"/>
      <c r="O178" s="1062"/>
      <c r="P178" s="1062"/>
      <c r="Q178" s="1062"/>
      <c r="R178" s="1062"/>
      <c r="S178" s="1553"/>
      <c r="T178" s="1062"/>
      <c r="U178" s="1062"/>
      <c r="V178" s="468"/>
      <c r="W178" s="1062"/>
      <c r="X178" s="1062"/>
      <c r="Y178" s="1062"/>
      <c r="Z178" s="1062"/>
      <c r="AA178" s="1062"/>
      <c r="AB178" s="1549"/>
      <c r="AC178" s="487"/>
      <c r="AD178" s="487"/>
      <c r="AE178" s="487"/>
      <c r="AF178" s="487"/>
    </row>
    <row r="179" spans="1:32" s="1558" customFormat="1" ht="11.25" customHeight="1">
      <c r="A179" s="899"/>
      <c r="B179" s="1553"/>
      <c r="C179" s="1553"/>
      <c r="D179" s="272"/>
      <c r="L179" s="1062"/>
      <c r="M179" s="1553"/>
      <c r="N179" s="1553"/>
      <c r="O179" s="1062"/>
      <c r="P179" s="1062"/>
      <c r="Q179" s="1062"/>
      <c r="R179" s="1062"/>
      <c r="S179" s="1553"/>
      <c r="T179" s="1062"/>
      <c r="U179" s="1062"/>
      <c r="V179" s="468"/>
      <c r="W179" s="1062"/>
      <c r="X179" s="1062"/>
      <c r="Y179" s="1062"/>
      <c r="Z179" s="1062"/>
      <c r="AA179" s="1062"/>
      <c r="AB179" s="1549"/>
      <c r="AC179" s="487"/>
      <c r="AD179" s="487"/>
      <c r="AE179" s="487"/>
      <c r="AF179" s="487"/>
    </row>
    <row r="180" spans="1:32" s="1558" customFormat="1" ht="11.25" customHeight="1">
      <c r="A180" s="899"/>
      <c r="B180" s="1553"/>
      <c r="C180" s="1553"/>
      <c r="D180" s="272"/>
      <c r="L180" s="1062"/>
      <c r="M180" s="1553"/>
      <c r="N180" s="1553"/>
      <c r="O180" s="1062"/>
      <c r="P180" s="1062"/>
      <c r="Q180" s="1062"/>
      <c r="R180" s="1062"/>
      <c r="S180" s="1553"/>
      <c r="T180" s="1062"/>
      <c r="U180" s="1062"/>
      <c r="V180" s="468"/>
      <c r="W180" s="1062"/>
      <c r="X180" s="1062"/>
      <c r="Y180" s="1062"/>
      <c r="Z180" s="1062"/>
      <c r="AA180" s="1062"/>
      <c r="AB180" s="1549"/>
      <c r="AC180" s="487"/>
      <c r="AD180" s="487"/>
      <c r="AE180" s="487"/>
      <c r="AF180" s="487"/>
    </row>
    <row r="181" spans="1:32" s="1558" customFormat="1" ht="11.25" customHeight="1">
      <c r="A181" s="899"/>
      <c r="B181" s="1553"/>
      <c r="C181" s="1553"/>
      <c r="D181" s="272"/>
      <c r="L181" s="1062"/>
      <c r="M181" s="1553"/>
      <c r="N181" s="1553"/>
      <c r="O181" s="1062"/>
      <c r="P181" s="1062"/>
      <c r="Q181" s="1062"/>
      <c r="R181" s="1062"/>
      <c r="S181" s="1553"/>
      <c r="T181" s="1062"/>
      <c r="U181" s="1062"/>
      <c r="V181" s="468"/>
      <c r="W181" s="1062"/>
      <c r="X181" s="1062"/>
      <c r="Y181" s="1062"/>
      <c r="Z181" s="1062"/>
      <c r="AA181" s="1062"/>
      <c r="AB181" s="1549"/>
      <c r="AC181" s="487"/>
      <c r="AD181" s="487"/>
      <c r="AE181" s="487"/>
      <c r="AF181" s="487"/>
    </row>
    <row r="182" spans="1:32" s="1558" customFormat="1" ht="11.25" customHeight="1">
      <c r="A182" s="899"/>
      <c r="B182" s="1553"/>
      <c r="C182" s="1553"/>
      <c r="D182" s="272"/>
      <c r="L182" s="1062"/>
      <c r="M182" s="1553"/>
      <c r="N182" s="1553"/>
      <c r="O182" s="1062"/>
      <c r="P182" s="1062"/>
      <c r="Q182" s="1062"/>
      <c r="R182" s="1062"/>
      <c r="S182" s="1553"/>
      <c r="T182" s="1062"/>
      <c r="U182" s="1062"/>
      <c r="V182" s="468"/>
      <c r="W182" s="1062"/>
      <c r="X182" s="1062"/>
      <c r="Y182" s="1062"/>
      <c r="Z182" s="1062"/>
      <c r="AA182" s="1062"/>
      <c r="AB182" s="1549"/>
      <c r="AC182" s="487"/>
      <c r="AD182" s="487"/>
      <c r="AE182" s="487"/>
      <c r="AF182" s="487"/>
    </row>
    <row r="183" spans="1:32" s="1558" customFormat="1" ht="11.25" customHeight="1">
      <c r="A183" s="899"/>
      <c r="B183" s="1553"/>
      <c r="C183" s="1553"/>
      <c r="D183" s="272"/>
      <c r="L183" s="1062"/>
      <c r="M183" s="1553"/>
      <c r="N183" s="1553"/>
      <c r="O183" s="1062"/>
      <c r="P183" s="1062"/>
      <c r="Q183" s="1062"/>
      <c r="R183" s="1062"/>
      <c r="S183" s="1553"/>
      <c r="T183" s="1062"/>
      <c r="U183" s="1062"/>
      <c r="V183" s="468"/>
      <c r="W183" s="1062"/>
      <c r="X183" s="1062"/>
      <c r="Y183" s="1062"/>
      <c r="Z183" s="1062"/>
      <c r="AA183" s="1062"/>
      <c r="AB183" s="1549"/>
      <c r="AC183" s="487"/>
      <c r="AD183" s="487"/>
      <c r="AE183" s="487"/>
      <c r="AF183" s="487"/>
    </row>
    <row r="184" spans="1:32" s="1558" customFormat="1" ht="11.25" customHeight="1">
      <c r="A184" s="899"/>
      <c r="B184" s="1553"/>
      <c r="C184" s="1553"/>
      <c r="D184" s="272"/>
      <c r="L184" s="1062"/>
      <c r="M184" s="1553"/>
      <c r="N184" s="1553"/>
      <c r="O184" s="1062"/>
      <c r="P184" s="1062"/>
      <c r="Q184" s="1062"/>
      <c r="R184" s="1062"/>
      <c r="S184" s="1553"/>
      <c r="T184" s="1062"/>
      <c r="U184" s="1062"/>
      <c r="V184" s="468"/>
      <c r="W184" s="1062"/>
      <c r="X184" s="1062"/>
      <c r="Y184" s="1062"/>
      <c r="Z184" s="1062"/>
      <c r="AA184" s="1062"/>
      <c r="AB184" s="1549"/>
      <c r="AC184" s="487"/>
      <c r="AD184" s="487"/>
      <c r="AE184" s="487"/>
      <c r="AF184" s="487"/>
    </row>
    <row r="185" spans="1:32" s="1558" customFormat="1" ht="11.25" customHeight="1">
      <c r="A185" s="899"/>
      <c r="B185" s="1553"/>
      <c r="C185" s="1553"/>
      <c r="D185" s="272"/>
      <c r="L185" s="1062"/>
      <c r="M185" s="1553"/>
      <c r="N185" s="1553"/>
      <c r="O185" s="1062"/>
      <c r="P185" s="1062"/>
      <c r="Q185" s="1062"/>
      <c r="R185" s="1062"/>
      <c r="S185" s="1553"/>
      <c r="T185" s="1062"/>
      <c r="U185" s="1062"/>
      <c r="V185" s="468"/>
      <c r="W185" s="1062"/>
      <c r="X185" s="1062"/>
      <c r="Y185" s="1062"/>
      <c r="Z185" s="1062"/>
      <c r="AA185" s="1062"/>
      <c r="AB185" s="1549"/>
      <c r="AC185" s="487"/>
      <c r="AD185" s="487"/>
      <c r="AE185" s="487"/>
      <c r="AF185" s="487"/>
    </row>
    <row r="186" spans="1:32" s="1558" customFormat="1" ht="11.25" customHeight="1">
      <c r="A186" s="899"/>
      <c r="B186" s="1553"/>
      <c r="C186" s="1553"/>
      <c r="D186" s="272"/>
      <c r="L186" s="1062"/>
      <c r="M186" s="1553"/>
      <c r="N186" s="1553"/>
      <c r="O186" s="1062"/>
      <c r="P186" s="1062"/>
      <c r="Q186" s="1062"/>
      <c r="R186" s="1062"/>
      <c r="S186" s="1553"/>
      <c r="T186" s="1062"/>
      <c r="U186" s="1062"/>
      <c r="V186" s="468"/>
      <c r="W186" s="1062"/>
      <c r="X186" s="1062"/>
      <c r="Y186" s="1062"/>
      <c r="Z186" s="1062"/>
      <c r="AA186" s="1062"/>
      <c r="AB186" s="1549"/>
      <c r="AC186" s="487"/>
      <c r="AD186" s="487"/>
      <c r="AE186" s="487"/>
      <c r="AF186" s="487"/>
    </row>
    <row r="187" spans="1:32" s="1558" customFormat="1" ht="11.25" customHeight="1">
      <c r="A187" s="899"/>
      <c r="B187" s="1553"/>
      <c r="C187" s="1553"/>
      <c r="D187" s="272"/>
      <c r="L187" s="1062"/>
      <c r="M187" s="1553"/>
      <c r="N187" s="1553"/>
      <c r="O187" s="1062"/>
      <c r="P187" s="1062"/>
      <c r="Q187" s="1062"/>
      <c r="R187" s="1062"/>
      <c r="S187" s="1553"/>
      <c r="T187" s="1062"/>
      <c r="U187" s="1062"/>
      <c r="V187" s="468"/>
      <c r="W187" s="1062"/>
      <c r="X187" s="1062"/>
      <c r="Y187" s="1062"/>
      <c r="Z187" s="1062"/>
      <c r="AA187" s="1062"/>
      <c r="AB187" s="1549"/>
      <c r="AC187" s="487"/>
      <c r="AD187" s="487"/>
      <c r="AE187" s="487"/>
      <c r="AF187" s="487"/>
    </row>
    <row r="188" spans="1:32" s="1558" customFormat="1" ht="11.25" customHeight="1">
      <c r="A188" s="899"/>
      <c r="B188" s="1553"/>
      <c r="C188" s="1553"/>
      <c r="D188" s="272"/>
      <c r="L188" s="1062"/>
      <c r="M188" s="1553"/>
      <c r="N188" s="1553"/>
      <c r="O188" s="1062"/>
      <c r="P188" s="1062"/>
      <c r="Q188" s="1062"/>
      <c r="R188" s="1062"/>
      <c r="S188" s="1553"/>
      <c r="T188" s="1062"/>
      <c r="U188" s="1062"/>
      <c r="V188" s="468"/>
      <c r="W188" s="1062"/>
      <c r="X188" s="1062"/>
      <c r="Y188" s="1062"/>
      <c r="Z188" s="1062"/>
      <c r="AA188" s="1062"/>
      <c r="AB188" s="1549"/>
      <c r="AC188" s="487"/>
      <c r="AD188" s="487"/>
      <c r="AE188" s="487"/>
      <c r="AF188" s="487"/>
    </row>
    <row r="189" spans="1:32" s="1558" customFormat="1" ht="11.25" customHeight="1">
      <c r="A189" s="899"/>
      <c r="B189" s="1553"/>
      <c r="C189" s="1553"/>
      <c r="D189" s="272"/>
      <c r="L189" s="1062"/>
      <c r="M189" s="1553"/>
      <c r="N189" s="1553"/>
      <c r="O189" s="1062"/>
      <c r="P189" s="1062"/>
      <c r="Q189" s="1062"/>
      <c r="R189" s="1062"/>
      <c r="S189" s="1553"/>
      <c r="T189" s="1062"/>
      <c r="U189" s="1062"/>
      <c r="V189" s="468"/>
      <c r="W189" s="1062"/>
      <c r="X189" s="1062"/>
      <c r="Y189" s="1062"/>
      <c r="Z189" s="1062"/>
      <c r="AA189" s="1062"/>
      <c r="AB189" s="1549"/>
      <c r="AC189" s="487"/>
      <c r="AD189" s="487"/>
      <c r="AE189" s="487"/>
      <c r="AF189" s="487"/>
    </row>
    <row r="190" spans="1:32" s="1558" customFormat="1" ht="11.25" customHeight="1">
      <c r="A190" s="899"/>
      <c r="B190" s="1553"/>
      <c r="C190" s="1553"/>
      <c r="D190" s="272"/>
      <c r="L190" s="1062"/>
      <c r="M190" s="1553"/>
      <c r="N190" s="1553"/>
      <c r="O190" s="1062"/>
      <c r="P190" s="1062"/>
      <c r="Q190" s="1062"/>
      <c r="R190" s="1062"/>
      <c r="S190" s="1553"/>
      <c r="T190" s="1062"/>
      <c r="U190" s="1062"/>
      <c r="V190" s="468"/>
      <c r="W190" s="1062"/>
      <c r="X190" s="1062"/>
      <c r="Y190" s="1062"/>
      <c r="Z190" s="1062"/>
      <c r="AA190" s="1062"/>
      <c r="AB190" s="1549"/>
      <c r="AC190" s="487"/>
      <c r="AD190" s="487"/>
      <c r="AE190" s="487"/>
      <c r="AF190" s="487"/>
    </row>
    <row r="191" spans="1:32" s="1558" customFormat="1" ht="11.25" customHeight="1">
      <c r="A191" s="899"/>
      <c r="B191" s="1553"/>
      <c r="C191" s="1553"/>
      <c r="D191" s="272"/>
      <c r="L191" s="1062"/>
      <c r="M191" s="1553"/>
      <c r="N191" s="1553"/>
      <c r="O191" s="1062"/>
      <c r="P191" s="1062"/>
      <c r="Q191" s="1062"/>
      <c r="R191" s="1062"/>
      <c r="S191" s="1553"/>
      <c r="T191" s="1062"/>
      <c r="U191" s="1062"/>
      <c r="V191" s="468"/>
      <c r="W191" s="1062"/>
      <c r="X191" s="1062"/>
      <c r="Y191" s="1062"/>
      <c r="Z191" s="1062"/>
      <c r="AA191" s="1062"/>
      <c r="AB191" s="1549"/>
      <c r="AC191" s="487"/>
      <c r="AD191" s="487"/>
      <c r="AE191" s="487"/>
      <c r="AF191" s="487"/>
    </row>
    <row r="192" spans="1:32" s="1558" customFormat="1" ht="11.25" customHeight="1">
      <c r="A192" s="899"/>
      <c r="B192" s="1553"/>
      <c r="C192" s="1553"/>
      <c r="D192" s="272"/>
      <c r="L192" s="1062"/>
      <c r="M192" s="1553"/>
      <c r="N192" s="1553"/>
      <c r="O192" s="1062"/>
      <c r="P192" s="1062"/>
      <c r="Q192" s="1062"/>
      <c r="R192" s="1062"/>
      <c r="S192" s="1553"/>
      <c r="T192" s="1062"/>
      <c r="U192" s="1062"/>
      <c r="V192" s="468"/>
      <c r="W192" s="1062"/>
      <c r="X192" s="1062"/>
      <c r="Y192" s="1062"/>
      <c r="Z192" s="1062"/>
      <c r="AA192" s="1062"/>
      <c r="AB192" s="1549"/>
      <c r="AC192" s="487"/>
      <c r="AD192" s="487"/>
      <c r="AE192" s="487"/>
      <c r="AF192" s="487"/>
    </row>
    <row r="193" spans="1:32" s="1558" customFormat="1" ht="11.25" customHeight="1">
      <c r="A193" s="899"/>
      <c r="B193" s="1553"/>
      <c r="C193" s="1553"/>
      <c r="D193" s="272"/>
      <c r="L193" s="1062"/>
      <c r="M193" s="1553"/>
      <c r="N193" s="1553"/>
      <c r="O193" s="1062"/>
      <c r="P193" s="1062"/>
      <c r="Q193" s="1062"/>
      <c r="R193" s="1062"/>
      <c r="S193" s="1553"/>
      <c r="T193" s="1062"/>
      <c r="U193" s="1062"/>
      <c r="V193" s="468"/>
      <c r="W193" s="1062"/>
      <c r="X193" s="1062"/>
      <c r="Y193" s="1062"/>
      <c r="Z193" s="1062"/>
      <c r="AA193" s="1062"/>
      <c r="AB193" s="1549"/>
      <c r="AC193" s="487"/>
      <c r="AD193" s="487"/>
      <c r="AE193" s="487"/>
      <c r="AF193" s="487"/>
    </row>
    <row r="194" spans="1:32" s="1558" customFormat="1" ht="11.25" customHeight="1">
      <c r="A194" s="899"/>
      <c r="B194" s="1553"/>
      <c r="C194" s="1553"/>
      <c r="D194" s="272"/>
      <c r="L194" s="1062"/>
      <c r="M194" s="1553"/>
      <c r="N194" s="1553"/>
      <c r="O194" s="1062"/>
      <c r="P194" s="1062"/>
      <c r="Q194" s="1062"/>
      <c r="R194" s="1062"/>
      <c r="S194" s="1553"/>
      <c r="T194" s="1062"/>
      <c r="U194" s="1062"/>
      <c r="V194" s="468"/>
      <c r="W194" s="1062"/>
      <c r="X194" s="1062"/>
      <c r="Y194" s="1062"/>
      <c r="Z194" s="1062"/>
      <c r="AA194" s="1062"/>
      <c r="AB194" s="1549"/>
      <c r="AC194" s="487"/>
      <c r="AD194" s="487"/>
      <c r="AE194" s="487"/>
      <c r="AF194" s="487"/>
    </row>
    <row r="195" spans="1:32" s="1558" customFormat="1" ht="11.25" customHeight="1">
      <c r="A195" s="899"/>
      <c r="B195" s="1553"/>
      <c r="C195" s="1553"/>
      <c r="D195" s="272"/>
      <c r="L195" s="1062"/>
      <c r="M195" s="1553"/>
      <c r="N195" s="1553"/>
      <c r="O195" s="1062"/>
      <c r="P195" s="1062"/>
      <c r="Q195" s="1062"/>
      <c r="R195" s="1062"/>
      <c r="S195" s="1553"/>
      <c r="T195" s="1062"/>
      <c r="U195" s="1062"/>
      <c r="V195" s="468"/>
      <c r="W195" s="1062"/>
      <c r="X195" s="1062"/>
      <c r="Y195" s="1062"/>
      <c r="Z195" s="1062"/>
      <c r="AA195" s="1062"/>
      <c r="AB195" s="1549"/>
      <c r="AC195" s="487"/>
      <c r="AD195" s="487"/>
      <c r="AE195" s="487"/>
      <c r="AF195" s="487"/>
    </row>
    <row r="196" spans="1:32" s="1558" customFormat="1" ht="11.25" customHeight="1">
      <c r="A196" s="899"/>
      <c r="B196" s="1553"/>
      <c r="C196" s="1553"/>
      <c r="D196" s="272"/>
      <c r="L196" s="1062"/>
      <c r="M196" s="1553"/>
      <c r="N196" s="1553"/>
      <c r="O196" s="1062"/>
      <c r="P196" s="1062"/>
      <c r="Q196" s="1062"/>
      <c r="R196" s="1062"/>
      <c r="S196" s="1553"/>
      <c r="T196" s="1062"/>
      <c r="U196" s="1062"/>
      <c r="V196" s="468"/>
      <c r="W196" s="1062"/>
      <c r="X196" s="1062"/>
      <c r="Y196" s="1062"/>
      <c r="Z196" s="1062"/>
      <c r="AA196" s="1062"/>
      <c r="AB196" s="1549"/>
      <c r="AC196" s="487"/>
      <c r="AD196" s="487"/>
      <c r="AE196" s="487"/>
      <c r="AF196" s="487"/>
    </row>
    <row r="197" spans="1:32" s="1558" customFormat="1" ht="11.25" customHeight="1">
      <c r="A197" s="899"/>
      <c r="B197" s="1553"/>
      <c r="C197" s="1553"/>
      <c r="D197" s="272"/>
      <c r="L197" s="1062"/>
      <c r="M197" s="1553"/>
      <c r="N197" s="1553"/>
      <c r="O197" s="1062"/>
      <c r="P197" s="1062"/>
      <c r="Q197" s="1062"/>
      <c r="R197" s="1062"/>
      <c r="S197" s="1553"/>
      <c r="T197" s="1062"/>
      <c r="U197" s="1062"/>
      <c r="V197" s="468"/>
      <c r="W197" s="1062"/>
      <c r="X197" s="1062"/>
      <c r="Y197" s="1062"/>
      <c r="Z197" s="1062"/>
      <c r="AA197" s="1062"/>
      <c r="AB197" s="1549"/>
      <c r="AC197" s="487"/>
      <c r="AD197" s="487"/>
      <c r="AE197" s="487"/>
      <c r="AF197" s="487"/>
    </row>
    <row r="198" spans="1:32" s="1558" customFormat="1" ht="11.25" customHeight="1">
      <c r="A198" s="899"/>
      <c r="B198" s="1553"/>
      <c r="C198" s="1553"/>
      <c r="D198" s="272"/>
      <c r="L198" s="1062"/>
      <c r="M198" s="1553"/>
      <c r="N198" s="1553"/>
      <c r="O198" s="1062"/>
      <c r="P198" s="1062"/>
      <c r="Q198" s="1062"/>
      <c r="R198" s="1062"/>
      <c r="S198" s="1553"/>
      <c r="T198" s="1062"/>
      <c r="U198" s="1062"/>
      <c r="V198" s="468"/>
      <c r="W198" s="1062"/>
      <c r="X198" s="1062"/>
      <c r="Y198" s="1062"/>
      <c r="Z198" s="1062"/>
      <c r="AA198" s="1062"/>
      <c r="AB198" s="1549"/>
      <c r="AC198" s="487"/>
      <c r="AD198" s="487"/>
      <c r="AE198" s="487"/>
      <c r="AF198" s="487"/>
    </row>
    <row r="199" spans="1:32" s="1558" customFormat="1" ht="11.25" customHeight="1">
      <c r="A199" s="899"/>
      <c r="B199" s="1553"/>
      <c r="C199" s="1553"/>
      <c r="D199" s="272"/>
      <c r="L199" s="1062"/>
      <c r="M199" s="1553"/>
      <c r="N199" s="1553"/>
      <c r="O199" s="1062"/>
      <c r="P199" s="1062"/>
      <c r="Q199" s="1062"/>
      <c r="R199" s="1062"/>
      <c r="S199" s="1553"/>
      <c r="T199" s="1062"/>
      <c r="U199" s="1062"/>
      <c r="V199" s="468"/>
      <c r="W199" s="1062"/>
      <c r="X199" s="1062"/>
      <c r="Y199" s="1062"/>
      <c r="Z199" s="1062"/>
      <c r="AA199" s="1062"/>
      <c r="AB199" s="1549"/>
      <c r="AC199" s="487"/>
      <c r="AD199" s="487"/>
      <c r="AE199" s="487"/>
      <c r="AF199" s="487"/>
    </row>
    <row r="200" spans="1:32" s="1558" customFormat="1" ht="11.25" customHeight="1">
      <c r="A200" s="899"/>
      <c r="B200" s="1553"/>
      <c r="C200" s="1553"/>
      <c r="D200" s="272"/>
      <c r="L200" s="1062"/>
      <c r="M200" s="1553"/>
      <c r="N200" s="1553"/>
      <c r="O200" s="1062"/>
      <c r="P200" s="1062"/>
      <c r="Q200" s="1062"/>
      <c r="R200" s="1062"/>
      <c r="S200" s="1553"/>
      <c r="T200" s="1062"/>
      <c r="U200" s="1062"/>
      <c r="V200" s="468"/>
      <c r="W200" s="1062"/>
      <c r="X200" s="1062"/>
      <c r="Y200" s="1062"/>
      <c r="Z200" s="1062"/>
      <c r="AA200" s="1062"/>
      <c r="AB200" s="1549"/>
      <c r="AC200" s="487"/>
      <c r="AD200" s="487"/>
      <c r="AE200" s="487"/>
      <c r="AF200" s="487"/>
    </row>
    <row r="201" spans="1:32" s="1558" customFormat="1" ht="11.25" customHeight="1">
      <c r="A201" s="899"/>
      <c r="B201" s="1553"/>
      <c r="C201" s="1553"/>
      <c r="D201" s="272"/>
      <c r="L201" s="1062"/>
      <c r="M201" s="1553"/>
      <c r="N201" s="1553"/>
      <c r="O201" s="1062"/>
      <c r="P201" s="1062"/>
      <c r="Q201" s="1062"/>
      <c r="R201" s="1062"/>
      <c r="S201" s="1553"/>
      <c r="T201" s="1062"/>
      <c r="U201" s="1062"/>
      <c r="V201" s="468"/>
      <c r="W201" s="1062"/>
      <c r="X201" s="1062"/>
      <c r="Y201" s="1062"/>
      <c r="Z201" s="1062"/>
      <c r="AA201" s="1062"/>
      <c r="AB201" s="1549"/>
      <c r="AC201" s="487"/>
      <c r="AD201" s="487"/>
      <c r="AE201" s="487"/>
      <c r="AF201" s="487"/>
    </row>
    <row r="202" spans="1:32" s="1558" customFormat="1" ht="11.25" customHeight="1">
      <c r="A202" s="899"/>
      <c r="B202" s="1553"/>
      <c r="C202" s="1553"/>
      <c r="D202" s="272"/>
      <c r="L202" s="1062"/>
      <c r="M202" s="1553"/>
      <c r="N202" s="1553"/>
      <c r="O202" s="1062"/>
      <c r="P202" s="1062"/>
      <c r="Q202" s="1062"/>
      <c r="R202" s="1062"/>
      <c r="S202" s="1553"/>
      <c r="T202" s="1062"/>
      <c r="U202" s="1062"/>
      <c r="V202" s="468"/>
      <c r="W202" s="1062"/>
      <c r="X202" s="1062"/>
      <c r="Y202" s="1062"/>
      <c r="Z202" s="1062"/>
      <c r="AA202" s="1062"/>
      <c r="AB202" s="1549"/>
      <c r="AC202" s="487"/>
      <c r="AD202" s="487"/>
      <c r="AE202" s="487"/>
      <c r="AF202" s="487"/>
    </row>
    <row r="203" spans="1:32" s="1558" customFormat="1" ht="11.25" customHeight="1">
      <c r="A203" s="899"/>
      <c r="B203" s="1553"/>
      <c r="C203" s="1553"/>
      <c r="D203" s="272"/>
      <c r="L203" s="1062"/>
      <c r="M203" s="1553"/>
      <c r="N203" s="1553"/>
      <c r="O203" s="1062"/>
      <c r="P203" s="1062"/>
      <c r="Q203" s="1062"/>
      <c r="R203" s="1062"/>
      <c r="S203" s="1553"/>
      <c r="T203" s="1062"/>
      <c r="U203" s="1062"/>
      <c r="V203" s="468"/>
      <c r="W203" s="1062"/>
      <c r="X203" s="1062"/>
      <c r="Y203" s="1062"/>
      <c r="Z203" s="1062"/>
      <c r="AA203" s="1062"/>
      <c r="AB203" s="1549"/>
      <c r="AC203" s="487"/>
      <c r="AD203" s="487"/>
      <c r="AE203" s="487"/>
      <c r="AF203" s="487"/>
    </row>
    <row r="204" spans="1:32" s="1558" customFormat="1" ht="11.25" customHeight="1">
      <c r="A204" s="899"/>
      <c r="B204" s="1553"/>
      <c r="C204" s="1553"/>
      <c r="D204" s="272"/>
      <c r="L204" s="1062"/>
      <c r="M204" s="1553"/>
      <c r="N204" s="1553"/>
      <c r="O204" s="1062"/>
      <c r="P204" s="1062"/>
      <c r="Q204" s="1062"/>
      <c r="R204" s="1062"/>
      <c r="S204" s="1553"/>
      <c r="T204" s="1062"/>
      <c r="U204" s="1062"/>
      <c r="V204" s="468"/>
      <c r="W204" s="1062"/>
      <c r="X204" s="1062"/>
      <c r="Y204" s="1062"/>
      <c r="Z204" s="1062"/>
      <c r="AA204" s="1062"/>
      <c r="AB204" s="1549"/>
      <c r="AC204" s="487"/>
      <c r="AD204" s="487"/>
      <c r="AE204" s="487"/>
      <c r="AF204" s="487"/>
    </row>
    <row r="205" spans="1:32" s="1558" customFormat="1" ht="11.25" customHeight="1">
      <c r="A205" s="899"/>
      <c r="B205" s="1553"/>
      <c r="C205" s="1553"/>
      <c r="D205" s="272"/>
      <c r="L205" s="1062"/>
      <c r="M205" s="1553"/>
      <c r="N205" s="1553"/>
      <c r="O205" s="1062"/>
      <c r="P205" s="1062"/>
      <c r="Q205" s="1062"/>
      <c r="R205" s="1062"/>
      <c r="S205" s="1553"/>
      <c r="T205" s="1062"/>
      <c r="U205" s="1062"/>
      <c r="V205" s="468"/>
      <c r="W205" s="1062"/>
      <c r="X205" s="1062"/>
      <c r="Y205" s="1062"/>
      <c r="Z205" s="1062"/>
      <c r="AA205" s="1062"/>
      <c r="AB205" s="1549"/>
      <c r="AC205" s="487"/>
      <c r="AD205" s="487"/>
      <c r="AE205" s="487"/>
      <c r="AF205" s="487"/>
    </row>
    <row r="206" spans="1:32" s="1558" customFormat="1" ht="11.25" customHeight="1">
      <c r="A206" s="899"/>
      <c r="B206" s="1553"/>
      <c r="C206" s="1553"/>
      <c r="D206" s="272"/>
      <c r="L206" s="1062"/>
      <c r="M206" s="1553"/>
      <c r="N206" s="1553"/>
      <c r="O206" s="1062"/>
      <c r="P206" s="1062"/>
      <c r="Q206" s="1062"/>
      <c r="R206" s="1062"/>
      <c r="S206" s="1553"/>
      <c r="T206" s="1062"/>
      <c r="U206" s="1062"/>
      <c r="V206" s="468"/>
      <c r="W206" s="1062"/>
      <c r="X206" s="1062"/>
      <c r="Y206" s="1062"/>
      <c r="Z206" s="1062"/>
      <c r="AA206" s="1062"/>
      <c r="AB206" s="1549"/>
      <c r="AC206" s="487"/>
      <c r="AD206" s="487"/>
      <c r="AE206" s="487"/>
      <c r="AF206" s="487"/>
    </row>
    <row r="207" spans="1:32" s="1558" customFormat="1" ht="11.25" customHeight="1">
      <c r="A207" s="899"/>
      <c r="B207" s="1553"/>
      <c r="C207" s="1553"/>
      <c r="D207" s="272"/>
      <c r="L207" s="1062"/>
      <c r="M207" s="1553"/>
      <c r="N207" s="1553"/>
      <c r="O207" s="1062"/>
      <c r="P207" s="1062"/>
      <c r="Q207" s="1062"/>
      <c r="R207" s="1062"/>
      <c r="S207" s="1553"/>
      <c r="T207" s="1062"/>
      <c r="U207" s="1062"/>
      <c r="V207" s="468"/>
      <c r="W207" s="1062"/>
      <c r="X207" s="1062"/>
      <c r="Y207" s="1062"/>
      <c r="Z207" s="1062"/>
      <c r="AA207" s="1062"/>
      <c r="AB207" s="1549"/>
      <c r="AC207" s="487"/>
      <c r="AD207" s="487"/>
      <c r="AE207" s="487"/>
      <c r="AF207" s="487"/>
    </row>
    <row r="208" spans="1:32" s="1558" customFormat="1" ht="11.25" customHeight="1">
      <c r="A208" s="899"/>
      <c r="B208" s="1553"/>
      <c r="C208" s="1553"/>
      <c r="D208" s="272"/>
      <c r="L208" s="1062"/>
      <c r="M208" s="1553"/>
      <c r="N208" s="1553"/>
      <c r="O208" s="1062"/>
      <c r="P208" s="1062"/>
      <c r="Q208" s="1062"/>
      <c r="R208" s="1062"/>
      <c r="S208" s="1553"/>
      <c r="T208" s="1062"/>
      <c r="U208" s="1062"/>
      <c r="V208" s="468"/>
      <c r="W208" s="1062"/>
      <c r="X208" s="1062"/>
      <c r="Y208" s="1062"/>
      <c r="Z208" s="1062"/>
      <c r="AA208" s="1062"/>
      <c r="AB208" s="1549"/>
      <c r="AC208" s="487"/>
      <c r="AD208" s="487"/>
      <c r="AE208" s="487"/>
      <c r="AF208" s="487"/>
    </row>
    <row r="209" spans="1:32" s="1558" customFormat="1" ht="11.25" customHeight="1">
      <c r="A209" s="899"/>
      <c r="B209" s="1553"/>
      <c r="C209" s="1553"/>
      <c r="D209" s="272"/>
      <c r="L209" s="1062"/>
      <c r="M209" s="1553"/>
      <c r="N209" s="1553"/>
      <c r="O209" s="1062"/>
      <c r="P209" s="1062"/>
      <c r="Q209" s="1062"/>
      <c r="R209" s="1062"/>
      <c r="S209" s="1553"/>
      <c r="T209" s="1062"/>
      <c r="U209" s="1062"/>
      <c r="V209" s="468"/>
      <c r="W209" s="1062"/>
      <c r="X209" s="1062"/>
      <c r="Y209" s="1062"/>
      <c r="Z209" s="1062"/>
      <c r="AA209" s="1062"/>
      <c r="AB209" s="1549"/>
      <c r="AC209" s="487"/>
      <c r="AD209" s="487"/>
      <c r="AE209" s="487"/>
      <c r="AF209" s="487"/>
    </row>
    <row r="210" spans="1:32" s="1558" customFormat="1" ht="11.25" customHeight="1">
      <c r="A210" s="899"/>
      <c r="B210" s="1553"/>
      <c r="C210" s="1553"/>
      <c r="D210" s="272"/>
      <c r="L210" s="1062"/>
      <c r="M210" s="1553"/>
      <c r="N210" s="1553"/>
      <c r="O210" s="1062"/>
      <c r="P210" s="1062"/>
      <c r="Q210" s="1062"/>
      <c r="R210" s="1062"/>
      <c r="S210" s="1553"/>
      <c r="T210" s="1062"/>
      <c r="U210" s="1062"/>
      <c r="V210" s="468"/>
      <c r="W210" s="1062"/>
      <c r="X210" s="1062"/>
      <c r="Y210" s="1062"/>
      <c r="Z210" s="1062"/>
      <c r="AA210" s="1062"/>
      <c r="AB210" s="1549"/>
      <c r="AC210" s="487"/>
      <c r="AD210" s="487"/>
      <c r="AE210" s="487"/>
      <c r="AF210" s="487"/>
    </row>
    <row r="211" spans="1:32" s="1558" customFormat="1" ht="11.25" customHeight="1">
      <c r="A211" s="899"/>
      <c r="B211" s="1553"/>
      <c r="C211" s="1553"/>
      <c r="D211" s="272"/>
      <c r="L211" s="1062"/>
      <c r="M211" s="1553"/>
      <c r="N211" s="1553"/>
      <c r="O211" s="1062"/>
      <c r="P211" s="1062"/>
      <c r="Q211" s="1062"/>
      <c r="R211" s="1062"/>
      <c r="S211" s="1553"/>
      <c r="T211" s="1062"/>
      <c r="U211" s="1062"/>
      <c r="V211" s="468"/>
      <c r="W211" s="1062"/>
      <c r="X211" s="1062"/>
      <c r="Y211" s="1062"/>
      <c r="Z211" s="1062"/>
      <c r="AA211" s="1062"/>
      <c r="AB211" s="1549"/>
      <c r="AC211" s="487"/>
      <c r="AD211" s="487"/>
      <c r="AE211" s="487"/>
      <c r="AF211" s="487"/>
    </row>
    <row r="212" spans="1:32" s="1558" customFormat="1" ht="11.25" customHeight="1">
      <c r="A212" s="899"/>
      <c r="B212" s="1553"/>
      <c r="C212" s="1553"/>
      <c r="D212" s="272"/>
      <c r="L212" s="1062"/>
      <c r="M212" s="1553"/>
      <c r="N212" s="1553"/>
      <c r="O212" s="1062"/>
      <c r="P212" s="1062"/>
      <c r="Q212" s="1062"/>
      <c r="R212" s="1062"/>
      <c r="S212" s="1553"/>
      <c r="T212" s="1062"/>
      <c r="U212" s="1062"/>
      <c r="V212" s="468"/>
      <c r="W212" s="1062"/>
      <c r="X212" s="1062"/>
      <c r="Y212" s="1062"/>
      <c r="Z212" s="1062"/>
      <c r="AA212" s="1062"/>
      <c r="AB212" s="1549"/>
      <c r="AC212" s="487"/>
      <c r="AD212" s="487"/>
      <c r="AE212" s="487"/>
      <c r="AF212" s="487"/>
    </row>
    <row r="213" spans="1:32" s="1558" customFormat="1" ht="11.25" customHeight="1">
      <c r="A213" s="899"/>
      <c r="B213" s="1553"/>
      <c r="C213" s="1553"/>
      <c r="D213" s="272"/>
      <c r="L213" s="1062"/>
      <c r="M213" s="1553"/>
      <c r="N213" s="1553"/>
      <c r="O213" s="1062"/>
      <c r="P213" s="1062"/>
      <c r="Q213" s="1062"/>
      <c r="R213" s="1062"/>
      <c r="S213" s="1553"/>
      <c r="T213" s="1062"/>
      <c r="U213" s="1062"/>
      <c r="V213" s="468"/>
      <c r="W213" s="1062"/>
      <c r="X213" s="1062"/>
      <c r="Y213" s="1062"/>
      <c r="Z213" s="1062"/>
      <c r="AA213" s="1062"/>
      <c r="AB213" s="1549"/>
      <c r="AC213" s="487"/>
      <c r="AD213" s="487"/>
      <c r="AE213" s="487"/>
      <c r="AF213" s="487"/>
    </row>
    <row r="214" spans="1:32" s="1558" customFormat="1" ht="11.25" customHeight="1">
      <c r="A214" s="899"/>
      <c r="B214" s="1553"/>
      <c r="C214" s="1553"/>
      <c r="D214" s="272"/>
      <c r="L214" s="1062"/>
      <c r="M214" s="1553"/>
      <c r="N214" s="1553"/>
      <c r="O214" s="1062"/>
      <c r="P214" s="1062"/>
      <c r="Q214" s="1062"/>
      <c r="R214" s="1062"/>
      <c r="S214" s="1553"/>
      <c r="T214" s="1062"/>
      <c r="U214" s="1062"/>
      <c r="V214" s="468"/>
      <c r="W214" s="1062"/>
      <c r="X214" s="1062"/>
      <c r="Y214" s="1062"/>
      <c r="Z214" s="1062"/>
      <c r="AA214" s="1062"/>
      <c r="AB214" s="1549"/>
      <c r="AC214" s="487"/>
      <c r="AD214" s="487"/>
      <c r="AE214" s="487"/>
      <c r="AF214" s="487"/>
    </row>
    <row r="215" spans="1:32" s="1558" customFormat="1" ht="11.25" customHeight="1">
      <c r="A215" s="899"/>
      <c r="B215" s="1553"/>
      <c r="C215" s="1553"/>
      <c r="D215" s="272"/>
      <c r="L215" s="1062"/>
      <c r="M215" s="1553"/>
      <c r="N215" s="1553"/>
      <c r="O215" s="1062"/>
      <c r="P215" s="1062"/>
      <c r="Q215" s="1062"/>
      <c r="R215" s="1062"/>
      <c r="S215" s="1553"/>
      <c r="T215" s="1062"/>
      <c r="U215" s="1062"/>
      <c r="V215" s="468"/>
      <c r="W215" s="1062"/>
      <c r="X215" s="1062"/>
      <c r="Y215" s="1062"/>
      <c r="Z215" s="1062"/>
      <c r="AA215" s="1062"/>
      <c r="AB215" s="1549"/>
      <c r="AC215" s="487"/>
      <c r="AD215" s="487"/>
      <c r="AE215" s="487"/>
      <c r="AF215" s="487"/>
    </row>
    <row r="216" spans="1:32" s="1558" customFormat="1" ht="11.25" customHeight="1">
      <c r="A216" s="899"/>
      <c r="B216" s="1553"/>
      <c r="C216" s="1553"/>
      <c r="D216" s="272"/>
      <c r="L216" s="1062"/>
      <c r="M216" s="1553"/>
      <c r="N216" s="1553"/>
      <c r="O216" s="1062"/>
      <c r="P216" s="1062"/>
      <c r="Q216" s="1062"/>
      <c r="R216" s="1062"/>
      <c r="S216" s="1553"/>
      <c r="T216" s="1062"/>
      <c r="U216" s="1062"/>
      <c r="V216" s="468"/>
      <c r="W216" s="1062"/>
      <c r="X216" s="1062"/>
      <c r="Y216" s="1062"/>
      <c r="Z216" s="1062"/>
      <c r="AA216" s="1062"/>
      <c r="AB216" s="1549"/>
      <c r="AC216" s="487"/>
      <c r="AD216" s="487"/>
      <c r="AE216" s="487"/>
      <c r="AF216" s="487"/>
    </row>
    <row r="217" spans="1:32" s="1558" customFormat="1" ht="11.25" customHeight="1">
      <c r="A217" s="899"/>
      <c r="B217" s="1553"/>
      <c r="C217" s="1553"/>
      <c r="D217" s="272"/>
      <c r="L217" s="1062"/>
      <c r="M217" s="1553"/>
      <c r="N217" s="1553"/>
      <c r="O217" s="1062"/>
      <c r="P217" s="1062"/>
      <c r="Q217" s="1062"/>
      <c r="R217" s="1062"/>
      <c r="S217" s="1553"/>
      <c r="T217" s="1062"/>
      <c r="U217" s="1062"/>
      <c r="V217" s="468"/>
      <c r="W217" s="1062"/>
      <c r="X217" s="1062"/>
      <c r="Y217" s="1062"/>
      <c r="Z217" s="1062"/>
      <c r="AA217" s="1062"/>
      <c r="AB217" s="1549"/>
      <c r="AC217" s="487"/>
      <c r="AD217" s="487"/>
      <c r="AE217" s="487"/>
      <c r="AF217" s="487"/>
    </row>
    <row r="218" spans="1:32" s="1558" customFormat="1" ht="11.25" customHeight="1">
      <c r="A218" s="899"/>
      <c r="B218" s="1553"/>
      <c r="C218" s="1553"/>
      <c r="D218" s="272"/>
      <c r="L218" s="1062"/>
      <c r="M218" s="1553"/>
      <c r="N218" s="1553"/>
      <c r="O218" s="1062"/>
      <c r="P218" s="1062"/>
      <c r="Q218" s="1062"/>
      <c r="R218" s="1062"/>
      <c r="S218" s="1553"/>
      <c r="T218" s="1062"/>
      <c r="U218" s="1062"/>
      <c r="V218" s="468"/>
      <c r="W218" s="1062"/>
      <c r="X218" s="1062"/>
      <c r="Y218" s="1062"/>
      <c r="Z218" s="1062"/>
      <c r="AA218" s="1062"/>
      <c r="AB218" s="1549"/>
      <c r="AC218" s="487"/>
      <c r="AD218" s="487"/>
      <c r="AE218" s="487"/>
      <c r="AF218" s="487"/>
    </row>
    <row r="219" spans="1:32" s="1558" customFormat="1" ht="11.25" customHeight="1">
      <c r="A219" s="899"/>
      <c r="B219" s="1553"/>
      <c r="C219" s="1553"/>
      <c r="D219" s="272"/>
      <c r="L219" s="1062"/>
      <c r="M219" s="1553"/>
      <c r="N219" s="1553"/>
      <c r="O219" s="1062"/>
      <c r="P219" s="1062"/>
      <c r="Q219" s="1062"/>
      <c r="R219" s="1062"/>
      <c r="S219" s="1553"/>
      <c r="T219" s="1062"/>
      <c r="U219" s="1062"/>
      <c r="V219" s="468"/>
      <c r="W219" s="1062"/>
      <c r="X219" s="1062"/>
      <c r="Y219" s="1062"/>
      <c r="Z219" s="1062"/>
      <c r="AA219" s="1062"/>
      <c r="AB219" s="1549"/>
      <c r="AC219" s="487"/>
      <c r="AD219" s="487"/>
      <c r="AE219" s="487"/>
      <c r="AF219" s="487"/>
    </row>
    <row r="220" spans="1:32" s="1558" customFormat="1" ht="11.25" customHeight="1">
      <c r="A220" s="899"/>
      <c r="B220" s="1553"/>
      <c r="C220" s="1553"/>
      <c r="D220" s="272"/>
      <c r="L220" s="1062"/>
      <c r="M220" s="1553"/>
      <c r="N220" s="1553"/>
      <c r="O220" s="1062"/>
      <c r="P220" s="1062"/>
      <c r="Q220" s="1062"/>
      <c r="R220" s="1062"/>
      <c r="S220" s="1553"/>
      <c r="T220" s="1062"/>
      <c r="U220" s="1062"/>
      <c r="V220" s="468"/>
      <c r="W220" s="1062"/>
      <c r="X220" s="1062"/>
      <c r="Y220" s="1062"/>
      <c r="Z220" s="1062"/>
      <c r="AA220" s="1062"/>
      <c r="AB220" s="1549"/>
      <c r="AC220" s="487"/>
      <c r="AD220" s="487"/>
      <c r="AE220" s="487"/>
      <c r="AF220" s="487"/>
    </row>
    <row r="221" spans="1:32" s="1558" customFormat="1" ht="11.25" customHeight="1">
      <c r="A221" s="899"/>
      <c r="B221" s="1553"/>
      <c r="C221" s="1553"/>
      <c r="D221" s="272"/>
      <c r="L221" s="1062"/>
      <c r="M221" s="1553"/>
      <c r="N221" s="1553"/>
      <c r="O221" s="1062"/>
      <c r="P221" s="1062"/>
      <c r="Q221" s="1062"/>
      <c r="R221" s="1062"/>
      <c r="S221" s="1553"/>
      <c r="T221" s="1062"/>
      <c r="U221" s="1062"/>
      <c r="V221" s="468"/>
      <c r="W221" s="1062"/>
      <c r="X221" s="1062"/>
      <c r="Y221" s="1062"/>
      <c r="Z221" s="1062"/>
      <c r="AA221" s="1062"/>
      <c r="AB221" s="1549"/>
      <c r="AC221" s="487"/>
      <c r="AD221" s="487"/>
      <c r="AE221" s="487"/>
      <c r="AF221" s="487"/>
    </row>
    <row r="222" spans="1:32" s="1558" customFormat="1" ht="11.25" customHeight="1">
      <c r="A222" s="899"/>
      <c r="B222" s="1553"/>
      <c r="C222" s="1553"/>
      <c r="D222" s="272"/>
      <c r="L222" s="1062"/>
      <c r="M222" s="1553"/>
      <c r="N222" s="1553"/>
      <c r="O222" s="1062"/>
      <c r="P222" s="1062"/>
      <c r="Q222" s="1062"/>
      <c r="R222" s="1062"/>
      <c r="S222" s="1553"/>
      <c r="T222" s="1062"/>
      <c r="U222" s="1062"/>
      <c r="V222" s="468"/>
      <c r="W222" s="1062"/>
      <c r="X222" s="1062"/>
      <c r="Y222" s="1062"/>
      <c r="Z222" s="1062"/>
      <c r="AA222" s="1062"/>
      <c r="AB222" s="1549"/>
      <c r="AC222" s="487"/>
      <c r="AD222" s="487"/>
      <c r="AE222" s="487"/>
      <c r="AF222" s="487"/>
    </row>
    <row r="223" spans="1:32" s="1558" customFormat="1" ht="11.25" customHeight="1">
      <c r="A223" s="899"/>
      <c r="B223" s="1553"/>
      <c r="C223" s="1553"/>
      <c r="D223" s="272"/>
      <c r="L223" s="1062"/>
      <c r="M223" s="1553"/>
      <c r="N223" s="1553"/>
      <c r="O223" s="1062"/>
      <c r="P223" s="1062"/>
      <c r="Q223" s="1062"/>
      <c r="R223" s="1062"/>
      <c r="S223" s="1553"/>
      <c r="T223" s="1062"/>
      <c r="U223" s="1062"/>
      <c r="V223" s="468"/>
      <c r="W223" s="1062"/>
      <c r="X223" s="1062"/>
      <c r="Y223" s="1062"/>
      <c r="Z223" s="1062"/>
      <c r="AA223" s="1062"/>
      <c r="AB223" s="1549"/>
      <c r="AC223" s="487"/>
      <c r="AD223" s="487"/>
      <c r="AE223" s="487"/>
      <c r="AF223" s="487"/>
    </row>
    <row r="224" spans="1:32" s="1558" customFormat="1" ht="11.25" customHeight="1">
      <c r="A224" s="899"/>
      <c r="B224" s="1553"/>
      <c r="C224" s="1553"/>
      <c r="D224" s="272"/>
      <c r="L224" s="1062"/>
      <c r="M224" s="1553"/>
      <c r="N224" s="1553"/>
      <c r="O224" s="1062"/>
      <c r="P224" s="1062"/>
      <c r="Q224" s="1062"/>
      <c r="R224" s="1062"/>
      <c r="S224" s="1553"/>
      <c r="T224" s="1062"/>
      <c r="U224" s="1062"/>
      <c r="V224" s="468"/>
      <c r="W224" s="1062"/>
      <c r="X224" s="1062"/>
      <c r="Y224" s="1062"/>
      <c r="Z224" s="1062"/>
      <c r="AA224" s="1062"/>
      <c r="AB224" s="1549"/>
      <c r="AC224" s="487"/>
      <c r="AD224" s="487"/>
      <c r="AE224" s="487"/>
      <c r="AF224" s="487"/>
    </row>
    <row r="225" spans="1:32" s="1558" customFormat="1" ht="11.25" customHeight="1">
      <c r="A225" s="899"/>
      <c r="B225" s="1553"/>
      <c r="C225" s="1553"/>
      <c r="D225" s="272"/>
      <c r="L225" s="1062"/>
      <c r="M225" s="1553"/>
      <c r="N225" s="1553"/>
      <c r="O225" s="1062"/>
      <c r="P225" s="1062"/>
      <c r="Q225" s="1062"/>
      <c r="R225" s="1062"/>
      <c r="S225" s="1553"/>
      <c r="T225" s="1062"/>
      <c r="U225" s="1062"/>
      <c r="V225" s="468"/>
      <c r="W225" s="1062"/>
      <c r="X225" s="1062"/>
      <c r="Y225" s="1062"/>
      <c r="Z225" s="1062"/>
      <c r="AA225" s="1062"/>
      <c r="AB225" s="1549"/>
      <c r="AC225" s="487"/>
      <c r="AD225" s="487"/>
      <c r="AE225" s="487"/>
      <c r="AF225" s="487"/>
    </row>
    <row r="226" spans="1:32" s="1558" customFormat="1" ht="11.25" customHeight="1">
      <c r="A226" s="899"/>
      <c r="B226" s="1553"/>
      <c r="C226" s="1553"/>
      <c r="D226" s="272"/>
      <c r="L226" s="1062"/>
      <c r="M226" s="1553"/>
      <c r="N226" s="1553"/>
      <c r="O226" s="1062"/>
      <c r="P226" s="1062"/>
      <c r="Q226" s="1062"/>
      <c r="R226" s="1062"/>
      <c r="S226" s="1553"/>
      <c r="T226" s="1062"/>
      <c r="U226" s="1062"/>
      <c r="V226" s="468"/>
      <c r="W226" s="1062"/>
      <c r="X226" s="1062"/>
      <c r="Y226" s="1062"/>
      <c r="Z226" s="1062"/>
      <c r="AA226" s="1062"/>
      <c r="AB226" s="1549"/>
      <c r="AC226" s="487"/>
      <c r="AD226" s="487"/>
      <c r="AE226" s="487"/>
      <c r="AF226" s="487"/>
    </row>
    <row r="227" spans="1:32" s="1558" customFormat="1" ht="11.25" customHeight="1">
      <c r="A227" s="899"/>
      <c r="B227" s="1553"/>
      <c r="C227" s="1553"/>
      <c r="D227" s="272"/>
      <c r="L227" s="1062"/>
      <c r="M227" s="1553"/>
      <c r="N227" s="1553"/>
      <c r="O227" s="1062"/>
      <c r="P227" s="1062"/>
      <c r="Q227" s="1062"/>
      <c r="R227" s="1062"/>
      <c r="S227" s="1553"/>
      <c r="T227" s="1062"/>
      <c r="U227" s="1062"/>
      <c r="V227" s="468"/>
      <c r="W227" s="1062"/>
      <c r="X227" s="1062"/>
      <c r="Y227" s="1062"/>
      <c r="Z227" s="1062"/>
      <c r="AA227" s="1062"/>
      <c r="AB227" s="1549"/>
      <c r="AC227" s="487"/>
      <c r="AD227" s="487"/>
      <c r="AE227" s="487"/>
      <c r="AF227" s="487"/>
    </row>
    <row r="228" spans="1:32" s="1558" customFormat="1" ht="11.25" customHeight="1">
      <c r="A228" s="899"/>
      <c r="B228" s="1553"/>
      <c r="C228" s="1553"/>
      <c r="D228" s="272"/>
      <c r="L228" s="1062"/>
      <c r="M228" s="1553"/>
      <c r="N228" s="1553"/>
      <c r="O228" s="1062"/>
      <c r="P228" s="1062"/>
      <c r="Q228" s="1062"/>
      <c r="R228" s="1062"/>
      <c r="S228" s="1553"/>
      <c r="T228" s="1062"/>
      <c r="U228" s="1062"/>
      <c r="V228" s="468"/>
      <c r="W228" s="1062"/>
      <c r="X228" s="1062"/>
      <c r="Y228" s="1062"/>
      <c r="Z228" s="1062"/>
      <c r="AA228" s="1062"/>
      <c r="AB228" s="1549"/>
      <c r="AC228" s="487"/>
      <c r="AD228" s="487"/>
      <c r="AE228" s="487"/>
      <c r="AF228" s="487"/>
    </row>
    <row r="229" spans="1:32" s="1558" customFormat="1" ht="11.25" customHeight="1">
      <c r="A229" s="899"/>
      <c r="B229" s="1553"/>
      <c r="C229" s="1553"/>
      <c r="D229" s="272"/>
      <c r="L229" s="1062"/>
      <c r="M229" s="1553"/>
      <c r="N229" s="1553"/>
      <c r="O229" s="1062"/>
      <c r="P229" s="1062"/>
      <c r="Q229" s="1062"/>
      <c r="R229" s="1062"/>
      <c r="S229" s="1553"/>
      <c r="T229" s="1062"/>
      <c r="U229" s="1062"/>
      <c r="V229" s="468"/>
      <c r="W229" s="1062"/>
      <c r="X229" s="1062"/>
      <c r="Y229" s="1062"/>
      <c r="Z229" s="1062"/>
      <c r="AA229" s="1062"/>
      <c r="AB229" s="1549"/>
      <c r="AC229" s="487"/>
      <c r="AD229" s="487"/>
      <c r="AE229" s="487"/>
      <c r="AF229" s="487"/>
    </row>
    <row r="230" spans="1:32" s="1558" customFormat="1" ht="11.25" customHeight="1">
      <c r="A230" s="899"/>
      <c r="B230" s="1553"/>
      <c r="C230" s="1553"/>
      <c r="D230" s="272"/>
      <c r="L230" s="1062"/>
      <c r="M230" s="1553"/>
      <c r="N230" s="1553"/>
      <c r="O230" s="1062"/>
      <c r="P230" s="1062"/>
      <c r="Q230" s="1062"/>
      <c r="R230" s="1062"/>
      <c r="S230" s="1553"/>
      <c r="T230" s="1062"/>
      <c r="U230" s="1062"/>
      <c r="V230" s="468"/>
      <c r="W230" s="1062"/>
      <c r="X230" s="1062"/>
      <c r="Y230" s="1062"/>
      <c r="Z230" s="1062"/>
      <c r="AA230" s="1062"/>
      <c r="AB230" s="1549"/>
      <c r="AC230" s="487"/>
      <c r="AD230" s="487"/>
      <c r="AE230" s="487"/>
      <c r="AF230" s="487"/>
    </row>
    <row r="231" spans="1:32" s="1558" customFormat="1" ht="11.25" customHeight="1">
      <c r="A231" s="899"/>
      <c r="B231" s="1553"/>
      <c r="C231" s="1553"/>
      <c r="D231" s="272"/>
      <c r="L231" s="1062"/>
      <c r="M231" s="1553"/>
      <c r="N231" s="1553"/>
      <c r="O231" s="1062"/>
      <c r="P231" s="1062"/>
      <c r="Q231" s="1062"/>
      <c r="R231" s="1062"/>
      <c r="S231" s="1553"/>
      <c r="T231" s="1062"/>
      <c r="U231" s="1062"/>
      <c r="V231" s="468"/>
      <c r="W231" s="1062"/>
      <c r="X231" s="1062"/>
      <c r="Y231" s="1062"/>
      <c r="Z231" s="1062"/>
      <c r="AA231" s="1062"/>
      <c r="AB231" s="1549"/>
      <c r="AC231" s="487"/>
      <c r="AD231" s="487"/>
      <c r="AE231" s="487"/>
      <c r="AF231" s="487"/>
    </row>
    <row r="232" spans="1:32" s="1558" customFormat="1" ht="11.25" customHeight="1">
      <c r="A232" s="899"/>
      <c r="B232" s="1553"/>
      <c r="C232" s="1553"/>
      <c r="D232" s="272"/>
      <c r="L232" s="1062"/>
      <c r="M232" s="1553"/>
      <c r="N232" s="1553"/>
      <c r="O232" s="1062"/>
      <c r="P232" s="1062"/>
      <c r="Q232" s="1062"/>
      <c r="R232" s="1062"/>
      <c r="S232" s="1553"/>
      <c r="T232" s="1062"/>
      <c r="U232" s="1062"/>
      <c r="V232" s="468"/>
      <c r="W232" s="1062"/>
      <c r="X232" s="1062"/>
      <c r="Y232" s="1062"/>
      <c r="Z232" s="1062"/>
      <c r="AA232" s="1062"/>
      <c r="AB232" s="1549"/>
      <c r="AC232" s="487"/>
      <c r="AD232" s="487"/>
      <c r="AE232" s="487"/>
      <c r="AF232" s="487"/>
    </row>
    <row r="233" spans="1:32" s="1558" customFormat="1" ht="11.25" customHeight="1">
      <c r="A233" s="899"/>
      <c r="B233" s="1553"/>
      <c r="C233" s="1553"/>
      <c r="D233" s="272"/>
      <c r="L233" s="1062"/>
      <c r="M233" s="1553"/>
      <c r="N233" s="1553"/>
      <c r="O233" s="1062"/>
      <c r="P233" s="1062"/>
      <c r="Q233" s="1062"/>
      <c r="R233" s="1062"/>
      <c r="S233" s="1553"/>
      <c r="T233" s="1062"/>
      <c r="U233" s="1062"/>
      <c r="V233" s="468"/>
      <c r="W233" s="1062"/>
      <c r="X233" s="1062"/>
      <c r="Y233" s="1062"/>
      <c r="Z233" s="1062"/>
      <c r="AA233" s="1062"/>
      <c r="AB233" s="1549"/>
      <c r="AC233" s="487"/>
      <c r="AD233" s="487"/>
      <c r="AE233" s="487"/>
      <c r="AF233" s="487"/>
    </row>
    <row r="234" spans="1:32" s="1558" customFormat="1" ht="11.25" customHeight="1">
      <c r="A234" s="899"/>
      <c r="B234" s="1553"/>
      <c r="C234" s="1553"/>
      <c r="D234" s="272"/>
      <c r="L234" s="1062"/>
      <c r="M234" s="1553"/>
      <c r="N234" s="1553"/>
      <c r="O234" s="1062"/>
      <c r="P234" s="1062"/>
      <c r="Q234" s="1062"/>
      <c r="R234" s="1062"/>
      <c r="S234" s="1553"/>
      <c r="T234" s="1062"/>
      <c r="U234" s="1062"/>
      <c r="V234" s="468"/>
      <c r="W234" s="1062"/>
      <c r="X234" s="1062"/>
      <c r="Y234" s="1062"/>
      <c r="Z234" s="1062"/>
      <c r="AA234" s="1062"/>
      <c r="AB234" s="1549"/>
      <c r="AC234" s="487"/>
      <c r="AD234" s="487"/>
      <c r="AE234" s="487"/>
      <c r="AF234" s="487"/>
    </row>
    <row r="235" spans="1:32" s="1558" customFormat="1" ht="11.25" customHeight="1">
      <c r="A235" s="899"/>
      <c r="B235" s="1553"/>
      <c r="C235" s="1553"/>
      <c r="D235" s="272"/>
      <c r="L235" s="1062"/>
      <c r="M235" s="1553"/>
      <c r="N235" s="1553"/>
      <c r="O235" s="1062"/>
      <c r="P235" s="1062"/>
      <c r="Q235" s="1062"/>
      <c r="R235" s="1062"/>
      <c r="S235" s="1553"/>
      <c r="T235" s="1062"/>
      <c r="U235" s="1062"/>
      <c r="V235" s="468"/>
      <c r="W235" s="1062"/>
      <c r="X235" s="1062"/>
      <c r="Y235" s="1062"/>
      <c r="Z235" s="1062"/>
      <c r="AA235" s="1062"/>
      <c r="AB235" s="1549"/>
      <c r="AC235" s="487"/>
      <c r="AD235" s="487"/>
      <c r="AE235" s="487"/>
      <c r="AF235" s="487"/>
    </row>
    <row r="236" spans="1:32" s="1558" customFormat="1" ht="11.25" customHeight="1">
      <c r="A236" s="899"/>
      <c r="B236" s="1553"/>
      <c r="C236" s="1553"/>
      <c r="D236" s="272"/>
      <c r="L236" s="1062"/>
      <c r="M236" s="1553"/>
      <c r="N236" s="1553"/>
      <c r="O236" s="1062"/>
      <c r="P236" s="1062"/>
      <c r="Q236" s="1062"/>
      <c r="R236" s="1062"/>
      <c r="S236" s="1553"/>
      <c r="T236" s="1062"/>
      <c r="U236" s="1062"/>
      <c r="V236" s="468"/>
      <c r="W236" s="1062"/>
      <c r="X236" s="1062"/>
      <c r="Y236" s="1062"/>
      <c r="Z236" s="1062"/>
      <c r="AA236" s="1062"/>
      <c r="AB236" s="1549"/>
      <c r="AC236" s="487"/>
      <c r="AD236" s="487"/>
      <c r="AE236" s="487"/>
      <c r="AF236" s="487"/>
    </row>
    <row r="237" spans="1:32" s="1558" customFormat="1" ht="11.25" customHeight="1">
      <c r="A237" s="899"/>
      <c r="B237" s="1553"/>
      <c r="C237" s="1553"/>
      <c r="D237" s="272"/>
      <c r="L237" s="1062"/>
      <c r="M237" s="1553"/>
      <c r="N237" s="1553"/>
      <c r="O237" s="1062"/>
      <c r="P237" s="1062"/>
      <c r="Q237" s="1062"/>
      <c r="R237" s="1062"/>
      <c r="S237" s="1553"/>
      <c r="T237" s="1062"/>
      <c r="U237" s="1062"/>
      <c r="V237" s="468"/>
      <c r="W237" s="1062"/>
      <c r="X237" s="1062"/>
      <c r="Y237" s="1062"/>
      <c r="Z237" s="1062"/>
      <c r="AA237" s="1062"/>
      <c r="AB237" s="1549"/>
      <c r="AC237" s="487"/>
      <c r="AD237" s="487"/>
      <c r="AE237" s="487"/>
      <c r="AF237" s="487"/>
    </row>
    <row r="238" spans="1:32" s="1558" customFormat="1" ht="11.25" customHeight="1">
      <c r="A238" s="899"/>
      <c r="B238" s="1553"/>
      <c r="C238" s="1553"/>
      <c r="D238" s="272"/>
      <c r="L238" s="1062"/>
      <c r="M238" s="1553"/>
      <c r="N238" s="1553"/>
      <c r="O238" s="1062"/>
      <c r="P238" s="1062"/>
      <c r="Q238" s="1062"/>
      <c r="R238" s="1062"/>
      <c r="S238" s="1553"/>
      <c r="T238" s="1062"/>
      <c r="U238" s="1062"/>
      <c r="V238" s="468"/>
      <c r="W238" s="1062"/>
      <c r="X238" s="1062"/>
      <c r="Y238" s="1062"/>
      <c r="Z238" s="1062"/>
      <c r="AA238" s="1062"/>
      <c r="AB238" s="1549"/>
      <c r="AC238" s="487"/>
      <c r="AD238" s="487"/>
      <c r="AE238" s="487"/>
      <c r="AF238" s="487"/>
    </row>
    <row r="239" spans="1:32" s="1558" customFormat="1" ht="11.25" customHeight="1">
      <c r="A239" s="899"/>
      <c r="B239" s="1553"/>
      <c r="C239" s="1553"/>
      <c r="D239" s="272"/>
      <c r="L239" s="1062"/>
      <c r="M239" s="1553"/>
      <c r="N239" s="1553"/>
      <c r="O239" s="1062"/>
      <c r="P239" s="1062"/>
      <c r="Q239" s="1062"/>
      <c r="R239" s="1062"/>
      <c r="S239" s="1553"/>
      <c r="T239" s="1062"/>
      <c r="U239" s="1062"/>
      <c r="V239" s="468"/>
      <c r="W239" s="1062"/>
      <c r="X239" s="1062"/>
      <c r="Y239" s="1062"/>
      <c r="Z239" s="1062"/>
      <c r="AA239" s="1062"/>
      <c r="AB239" s="1549"/>
      <c r="AC239" s="487"/>
      <c r="AD239" s="487"/>
      <c r="AE239" s="487"/>
      <c r="AF239" s="487"/>
    </row>
    <row r="240" spans="1:32" s="1558" customFormat="1" ht="11.25" customHeight="1">
      <c r="A240" s="899"/>
      <c r="B240" s="1553"/>
      <c r="C240" s="1553"/>
      <c r="D240" s="272"/>
      <c r="L240" s="1062"/>
      <c r="M240" s="1553"/>
      <c r="N240" s="1553"/>
      <c r="O240" s="1062"/>
      <c r="P240" s="1062"/>
      <c r="Q240" s="1062"/>
      <c r="R240" s="1062"/>
      <c r="S240" s="1553"/>
      <c r="T240" s="1062"/>
      <c r="U240" s="1062"/>
      <c r="V240" s="468"/>
      <c r="W240" s="1062"/>
      <c r="X240" s="1062"/>
      <c r="Y240" s="1062"/>
      <c r="Z240" s="1062"/>
      <c r="AA240" s="1062"/>
      <c r="AB240" s="1549"/>
      <c r="AC240" s="487"/>
      <c r="AD240" s="487"/>
      <c r="AE240" s="487"/>
      <c r="AF240" s="487"/>
    </row>
    <row r="241" spans="1:32" s="1558" customFormat="1" ht="11.25" customHeight="1">
      <c r="A241" s="899"/>
      <c r="B241" s="1553"/>
      <c r="C241" s="1553"/>
      <c r="D241" s="272"/>
      <c r="L241" s="1062"/>
      <c r="M241" s="1553"/>
      <c r="N241" s="1553"/>
      <c r="O241" s="1062"/>
      <c r="P241" s="1062"/>
      <c r="Q241" s="1062"/>
      <c r="R241" s="1062"/>
      <c r="S241" s="1553"/>
      <c r="T241" s="1062"/>
      <c r="U241" s="1062"/>
      <c r="V241" s="468"/>
      <c r="W241" s="1062"/>
      <c r="X241" s="1062"/>
      <c r="Y241" s="1062"/>
      <c r="Z241" s="1062"/>
      <c r="AA241" s="1062"/>
      <c r="AB241" s="1549"/>
      <c r="AC241" s="487"/>
      <c r="AD241" s="487"/>
      <c r="AE241" s="487"/>
      <c r="AF241" s="487"/>
    </row>
    <row r="242" spans="1:32" s="1558" customFormat="1" ht="11.25" customHeight="1">
      <c r="A242" s="899"/>
      <c r="B242" s="1553"/>
      <c r="C242" s="1553"/>
      <c r="D242" s="272"/>
      <c r="L242" s="1062"/>
      <c r="M242" s="1553"/>
      <c r="N242" s="1553"/>
      <c r="O242" s="1062"/>
      <c r="P242" s="1062"/>
      <c r="Q242" s="1062"/>
      <c r="R242" s="1062"/>
      <c r="S242" s="1553"/>
      <c r="T242" s="1062"/>
      <c r="U242" s="1062"/>
      <c r="V242" s="468"/>
      <c r="W242" s="1062"/>
      <c r="X242" s="1062"/>
      <c r="Y242" s="1062"/>
      <c r="Z242" s="1062"/>
      <c r="AA242" s="1062"/>
      <c r="AB242" s="1549"/>
      <c r="AC242" s="487"/>
      <c r="AD242" s="487"/>
      <c r="AE242" s="487"/>
      <c r="AF242" s="487"/>
    </row>
    <row r="243" spans="1:32" s="1558" customFormat="1" ht="11.25" customHeight="1">
      <c r="A243" s="899"/>
      <c r="B243" s="1553"/>
      <c r="C243" s="1553"/>
      <c r="D243" s="272"/>
      <c r="L243" s="1062"/>
      <c r="M243" s="1553"/>
      <c r="N243" s="1553"/>
      <c r="O243" s="1062"/>
      <c r="P243" s="1062"/>
      <c r="Q243" s="1062"/>
      <c r="R243" s="1062"/>
      <c r="S243" s="1553"/>
      <c r="T243" s="1062"/>
      <c r="U243" s="1062"/>
      <c r="V243" s="468"/>
      <c r="W243" s="1062"/>
      <c r="X243" s="1062"/>
      <c r="Y243" s="1062"/>
      <c r="Z243" s="1062"/>
      <c r="AA243" s="1062"/>
      <c r="AB243" s="1549"/>
      <c r="AC243" s="487"/>
      <c r="AD243" s="487"/>
      <c r="AE243" s="487"/>
      <c r="AF243" s="487"/>
    </row>
    <row r="244" spans="1:32" s="1558" customFormat="1" ht="11.25" customHeight="1">
      <c r="A244" s="899"/>
      <c r="B244" s="1553"/>
      <c r="C244" s="1553"/>
      <c r="D244" s="272"/>
      <c r="L244" s="1062"/>
      <c r="M244" s="1553"/>
      <c r="N244" s="1553"/>
      <c r="O244" s="1062"/>
      <c r="P244" s="1062"/>
      <c r="Q244" s="1062"/>
      <c r="R244" s="1062"/>
      <c r="S244" s="1553"/>
      <c r="T244" s="1062"/>
      <c r="U244" s="1062"/>
      <c r="V244" s="468"/>
      <c r="W244" s="1062"/>
      <c r="X244" s="1062"/>
      <c r="Y244" s="1062"/>
      <c r="Z244" s="1062"/>
      <c r="AA244" s="1062"/>
      <c r="AB244" s="1549"/>
      <c r="AC244" s="487"/>
      <c r="AD244" s="487"/>
      <c r="AE244" s="487"/>
      <c r="AF244" s="487"/>
    </row>
    <row r="245" spans="1:32" s="1558" customFormat="1" ht="11.25" customHeight="1">
      <c r="A245" s="899"/>
      <c r="B245" s="1553"/>
      <c r="C245" s="1553"/>
      <c r="D245" s="272"/>
      <c r="L245" s="1062"/>
      <c r="M245" s="1553"/>
      <c r="N245" s="1553"/>
      <c r="O245" s="1062"/>
      <c r="P245" s="1062"/>
      <c r="Q245" s="1062"/>
      <c r="R245" s="1062"/>
      <c r="S245" s="1553"/>
      <c r="T245" s="1062"/>
      <c r="U245" s="1062"/>
      <c r="V245" s="468"/>
      <c r="W245" s="1062"/>
      <c r="X245" s="1062"/>
      <c r="Y245" s="1062"/>
      <c r="Z245" s="1062"/>
      <c r="AA245" s="1062"/>
      <c r="AB245" s="1549"/>
      <c r="AC245" s="487"/>
      <c r="AD245" s="487"/>
      <c r="AE245" s="487"/>
      <c r="AF245" s="487"/>
    </row>
    <row r="246" spans="1:32" s="1558" customFormat="1" ht="11.25" customHeight="1">
      <c r="A246" s="899"/>
      <c r="B246" s="1553"/>
      <c r="C246" s="1553"/>
      <c r="D246" s="272"/>
      <c r="L246" s="1062"/>
      <c r="M246" s="1553"/>
      <c r="N246" s="1553"/>
      <c r="O246" s="1062"/>
      <c r="P246" s="1062"/>
      <c r="Q246" s="1062"/>
      <c r="R246" s="1062"/>
      <c r="S246" s="1553"/>
      <c r="T246" s="1062"/>
      <c r="U246" s="1062"/>
      <c r="V246" s="468"/>
      <c r="W246" s="1062"/>
      <c r="X246" s="1062"/>
      <c r="Y246" s="1062"/>
      <c r="Z246" s="1062"/>
      <c r="AA246" s="1062"/>
      <c r="AB246" s="1549"/>
      <c r="AC246" s="487"/>
      <c r="AD246" s="487"/>
      <c r="AE246" s="487"/>
      <c r="AF246" s="487"/>
    </row>
    <row r="247" spans="1:32" s="1558" customFormat="1" ht="11.25" customHeight="1">
      <c r="A247" s="899"/>
      <c r="B247" s="1553"/>
      <c r="C247" s="1553"/>
      <c r="D247" s="272"/>
      <c r="L247" s="1062"/>
      <c r="M247" s="1553"/>
      <c r="N247" s="1553"/>
      <c r="O247" s="1062"/>
      <c r="P247" s="1062"/>
      <c r="Q247" s="1062"/>
      <c r="R247" s="1062"/>
      <c r="S247" s="1553"/>
      <c r="T247" s="1062"/>
      <c r="U247" s="1062"/>
      <c r="V247" s="468"/>
      <c r="W247" s="1062"/>
      <c r="X247" s="1062"/>
      <c r="Y247" s="1062"/>
      <c r="Z247" s="1062"/>
      <c r="AA247" s="1062"/>
      <c r="AB247" s="1549"/>
      <c r="AC247" s="487"/>
      <c r="AD247" s="487"/>
      <c r="AE247" s="487"/>
      <c r="AF247" s="487"/>
    </row>
    <row r="248" spans="1:32" s="1558" customFormat="1" ht="11.25" customHeight="1">
      <c r="A248" s="899"/>
      <c r="B248" s="1553"/>
      <c r="C248" s="1553"/>
      <c r="D248" s="272"/>
      <c r="L248" s="1062"/>
      <c r="M248" s="1553"/>
      <c r="N248" s="1553"/>
      <c r="O248" s="1062"/>
      <c r="P248" s="1062"/>
      <c r="Q248" s="1062"/>
      <c r="R248" s="1062"/>
      <c r="S248" s="1553"/>
      <c r="T248" s="1062"/>
      <c r="U248" s="1062"/>
      <c r="V248" s="468"/>
      <c r="W248" s="1062"/>
      <c r="X248" s="1062"/>
      <c r="Y248" s="1062"/>
      <c r="Z248" s="1062"/>
      <c r="AA248" s="1062"/>
      <c r="AB248" s="1549"/>
      <c r="AC248" s="487"/>
      <c r="AD248" s="487"/>
      <c r="AE248" s="487"/>
      <c r="AF248" s="487"/>
    </row>
    <row r="249" spans="1:32" s="1558" customFormat="1" ht="11.25" customHeight="1">
      <c r="A249" s="899"/>
      <c r="B249" s="1553"/>
      <c r="C249" s="1553"/>
      <c r="D249" s="272"/>
      <c r="L249" s="1062"/>
      <c r="M249" s="1553"/>
      <c r="N249" s="1553"/>
      <c r="O249" s="1062"/>
      <c r="P249" s="1062"/>
      <c r="Q249" s="1062"/>
      <c r="R249" s="1062"/>
      <c r="S249" s="1553"/>
      <c r="T249" s="1062"/>
      <c r="U249" s="1062"/>
      <c r="V249" s="468"/>
      <c r="W249" s="1062"/>
      <c r="X249" s="1062"/>
      <c r="Y249" s="1062"/>
      <c r="Z249" s="1062"/>
      <c r="AA249" s="1062"/>
      <c r="AB249" s="1549"/>
      <c r="AC249" s="487"/>
      <c r="AD249" s="487"/>
      <c r="AE249" s="487"/>
      <c r="AF249" s="487"/>
    </row>
    <row r="250" spans="1:32" s="1558" customFormat="1" ht="11.25" customHeight="1">
      <c r="A250" s="899"/>
      <c r="B250" s="1553"/>
      <c r="C250" s="1553"/>
      <c r="D250" s="272"/>
      <c r="L250" s="1062"/>
      <c r="M250" s="1553"/>
      <c r="N250" s="1553"/>
      <c r="O250" s="1062"/>
      <c r="P250" s="1062"/>
      <c r="Q250" s="1062"/>
      <c r="R250" s="1062"/>
      <c r="S250" s="1553"/>
      <c r="T250" s="1062"/>
      <c r="U250" s="1062"/>
      <c r="V250" s="468"/>
      <c r="W250" s="1062"/>
      <c r="X250" s="1062"/>
      <c r="Y250" s="1062"/>
      <c r="Z250" s="1062"/>
      <c r="AA250" s="1062"/>
      <c r="AB250" s="1549"/>
      <c r="AC250" s="487"/>
      <c r="AD250" s="487"/>
      <c r="AE250" s="487"/>
      <c r="AF250" s="487"/>
    </row>
    <row r="251" spans="1:32" s="1558" customFormat="1" ht="11.25" customHeight="1">
      <c r="A251" s="899"/>
      <c r="B251" s="1553"/>
      <c r="C251" s="1553"/>
      <c r="D251" s="272"/>
      <c r="L251" s="1062"/>
      <c r="M251" s="1553"/>
      <c r="N251" s="1553"/>
      <c r="O251" s="1062"/>
      <c r="P251" s="1062"/>
      <c r="Q251" s="1062"/>
      <c r="R251" s="1062"/>
      <c r="S251" s="1553"/>
      <c r="T251" s="1062"/>
      <c r="U251" s="1062"/>
      <c r="V251" s="468"/>
      <c r="W251" s="1062"/>
      <c r="X251" s="1062"/>
      <c r="Y251" s="1062"/>
      <c r="Z251" s="1062"/>
      <c r="AA251" s="1062"/>
      <c r="AB251" s="1549"/>
      <c r="AC251" s="487"/>
      <c r="AD251" s="487"/>
      <c r="AE251" s="487"/>
      <c r="AF251" s="487"/>
    </row>
    <row r="252" spans="1:32" s="1558" customFormat="1" ht="11.25" customHeight="1">
      <c r="A252" s="899"/>
      <c r="B252" s="1553"/>
      <c r="C252" s="1553"/>
      <c r="D252" s="272"/>
      <c r="L252" s="1062"/>
      <c r="M252" s="1553"/>
      <c r="N252" s="1553"/>
      <c r="O252" s="1062"/>
      <c r="P252" s="1062"/>
      <c r="Q252" s="1062"/>
      <c r="R252" s="1062"/>
      <c r="S252" s="1553"/>
      <c r="T252" s="1062"/>
      <c r="U252" s="1062"/>
      <c r="V252" s="468"/>
      <c r="W252" s="1062"/>
      <c r="X252" s="1062"/>
      <c r="Y252" s="1062"/>
      <c r="Z252" s="1062"/>
      <c r="AA252" s="1062"/>
      <c r="AB252" s="1549"/>
      <c r="AC252" s="487"/>
      <c r="AD252" s="487"/>
      <c r="AE252" s="487"/>
      <c r="AF252" s="487"/>
    </row>
    <row r="253" spans="1:32" s="1558" customFormat="1" ht="11.25" customHeight="1">
      <c r="A253" s="899"/>
      <c r="B253" s="1553"/>
      <c r="C253" s="1553"/>
      <c r="D253" s="272"/>
      <c r="L253" s="1062"/>
      <c r="M253" s="1553"/>
      <c r="N253" s="1553"/>
      <c r="O253" s="1062"/>
      <c r="P253" s="1062"/>
      <c r="Q253" s="1062"/>
      <c r="R253" s="1062"/>
      <c r="S253" s="1553"/>
      <c r="T253" s="1062"/>
      <c r="U253" s="1062"/>
      <c r="V253" s="468"/>
      <c r="W253" s="1062"/>
      <c r="X253" s="1062"/>
      <c r="Y253" s="1062"/>
      <c r="Z253" s="1062"/>
      <c r="AA253" s="1062"/>
      <c r="AB253" s="1549"/>
      <c r="AC253" s="487"/>
      <c r="AD253" s="487"/>
      <c r="AE253" s="487"/>
      <c r="AF253" s="487"/>
    </row>
    <row r="254" spans="1:32" s="1558" customFormat="1" ht="11.25" customHeight="1">
      <c r="A254" s="899"/>
      <c r="B254" s="1553"/>
      <c r="C254" s="1553"/>
      <c r="D254" s="272"/>
      <c r="L254" s="1062"/>
      <c r="M254" s="1553"/>
      <c r="N254" s="1553"/>
      <c r="O254" s="1062"/>
      <c r="P254" s="1062"/>
      <c r="Q254" s="1062"/>
      <c r="R254" s="1062"/>
      <c r="S254" s="1553"/>
      <c r="T254" s="1062"/>
      <c r="U254" s="1062"/>
      <c r="V254" s="468"/>
      <c r="W254" s="1062"/>
      <c r="X254" s="1062"/>
      <c r="Y254" s="1062"/>
      <c r="Z254" s="1062"/>
      <c r="AA254" s="1062"/>
      <c r="AB254" s="1549"/>
      <c r="AC254" s="487"/>
      <c r="AD254" s="487"/>
      <c r="AE254" s="487"/>
      <c r="AF254" s="487"/>
    </row>
    <row r="255" spans="1:32" s="1558" customFormat="1" ht="11.25" customHeight="1">
      <c r="A255" s="899"/>
      <c r="B255" s="1553"/>
      <c r="C255" s="1553"/>
      <c r="D255" s="272"/>
      <c r="L255" s="1062"/>
      <c r="M255" s="1553"/>
      <c r="N255" s="1553"/>
      <c r="O255" s="1062"/>
      <c r="P255" s="1062"/>
      <c r="Q255" s="1062"/>
      <c r="R255" s="1062"/>
      <c r="S255" s="1553"/>
      <c r="T255" s="1062"/>
      <c r="U255" s="1062"/>
      <c r="V255" s="468"/>
      <c r="W255" s="1062"/>
      <c r="X255" s="1062"/>
      <c r="Y255" s="1062"/>
      <c r="Z255" s="1062"/>
      <c r="AA255" s="1062"/>
      <c r="AB255" s="1549"/>
      <c r="AC255" s="487"/>
      <c r="AD255" s="487"/>
      <c r="AE255" s="487"/>
      <c r="AF255" s="487"/>
    </row>
    <row r="256" spans="1:32" s="1558" customFormat="1" ht="11.25" customHeight="1">
      <c r="A256" s="899"/>
      <c r="B256" s="1553"/>
      <c r="C256" s="1553"/>
      <c r="D256" s="272"/>
      <c r="L256" s="1062"/>
      <c r="M256" s="1553"/>
      <c r="N256" s="1553"/>
      <c r="O256" s="1062"/>
      <c r="P256" s="1062"/>
      <c r="Q256" s="1062"/>
      <c r="R256" s="1062"/>
      <c r="S256" s="1553"/>
      <c r="T256" s="1062"/>
      <c r="U256" s="1062"/>
      <c r="V256" s="468"/>
      <c r="W256" s="1062"/>
      <c r="X256" s="1062"/>
      <c r="Y256" s="1062"/>
      <c r="Z256" s="1062"/>
      <c r="AA256" s="1062"/>
      <c r="AB256" s="1549"/>
      <c r="AC256" s="487"/>
      <c r="AD256" s="487"/>
      <c r="AE256" s="487"/>
      <c r="AF256" s="487"/>
    </row>
    <row r="257" spans="1:32" s="1558" customFormat="1" ht="11.25" customHeight="1">
      <c r="A257" s="899"/>
      <c r="B257" s="1553"/>
      <c r="C257" s="1553"/>
      <c r="D257" s="272"/>
      <c r="L257" s="1062"/>
      <c r="M257" s="1553"/>
      <c r="N257" s="1553"/>
      <c r="O257" s="1062"/>
      <c r="P257" s="1062"/>
      <c r="Q257" s="1062"/>
      <c r="R257" s="1062"/>
      <c r="S257" s="1553"/>
      <c r="T257" s="1062"/>
      <c r="U257" s="1062"/>
      <c r="V257" s="468"/>
      <c r="W257" s="1062"/>
      <c r="X257" s="1062"/>
      <c r="Y257" s="1062"/>
      <c r="Z257" s="1062"/>
      <c r="AA257" s="1062"/>
      <c r="AB257" s="1549"/>
      <c r="AC257" s="487"/>
      <c r="AD257" s="487"/>
      <c r="AE257" s="487"/>
      <c r="AF257" s="487"/>
    </row>
    <row r="258" spans="1:32" s="1558" customFormat="1" ht="11.25" customHeight="1">
      <c r="A258" s="899"/>
      <c r="B258" s="1553"/>
      <c r="C258" s="1553"/>
      <c r="D258" s="272"/>
      <c r="L258" s="1062"/>
      <c r="M258" s="1553"/>
      <c r="N258" s="1553"/>
      <c r="O258" s="1062"/>
      <c r="P258" s="1062"/>
      <c r="Q258" s="1062"/>
      <c r="R258" s="1062"/>
      <c r="S258" s="1553"/>
      <c r="T258" s="1062"/>
      <c r="U258" s="1062"/>
      <c r="V258" s="468"/>
      <c r="W258" s="1062"/>
      <c r="X258" s="1062"/>
      <c r="Y258" s="1062"/>
      <c r="Z258" s="1062"/>
      <c r="AA258" s="1062"/>
      <c r="AB258" s="1549"/>
      <c r="AC258" s="487"/>
      <c r="AD258" s="487"/>
      <c r="AE258" s="487"/>
      <c r="AF258" s="487"/>
    </row>
    <row r="259" spans="1:32" s="1558" customFormat="1" ht="11.25" customHeight="1">
      <c r="A259" s="899"/>
      <c r="B259" s="1553"/>
      <c r="C259" s="1553"/>
      <c r="D259" s="272"/>
      <c r="L259" s="1062"/>
      <c r="M259" s="1553"/>
      <c r="N259" s="1553"/>
      <c r="O259" s="1062"/>
      <c r="P259" s="1062"/>
      <c r="Q259" s="1062"/>
      <c r="R259" s="1062"/>
      <c r="S259" s="1553"/>
      <c r="T259" s="1062"/>
      <c r="U259" s="1062"/>
      <c r="V259" s="468"/>
      <c r="W259" s="1062"/>
      <c r="X259" s="1062"/>
      <c r="Y259" s="1062"/>
      <c r="Z259" s="1062"/>
      <c r="AA259" s="1062"/>
      <c r="AB259" s="1549"/>
      <c r="AC259" s="487"/>
      <c r="AD259" s="487"/>
      <c r="AE259" s="487"/>
      <c r="AF259" s="487"/>
    </row>
    <row r="260" spans="1:32" s="1558" customFormat="1" ht="11.25" customHeight="1">
      <c r="A260" s="899"/>
      <c r="B260" s="1553"/>
      <c r="C260" s="1553"/>
      <c r="D260" s="272"/>
      <c r="L260" s="1062"/>
      <c r="M260" s="1553"/>
      <c r="N260" s="1553"/>
      <c r="O260" s="1062"/>
      <c r="P260" s="1062"/>
      <c r="Q260" s="1062"/>
      <c r="R260" s="1062"/>
      <c r="S260" s="1553"/>
      <c r="T260" s="1062"/>
      <c r="U260" s="1062"/>
      <c r="V260" s="468"/>
      <c r="W260" s="1062"/>
      <c r="X260" s="1062"/>
      <c r="Y260" s="1062"/>
      <c r="Z260" s="1062"/>
      <c r="AA260" s="1062"/>
      <c r="AB260" s="1549"/>
      <c r="AC260" s="487"/>
      <c r="AD260" s="487"/>
      <c r="AE260" s="487"/>
      <c r="AF260" s="487"/>
    </row>
    <row r="261" spans="1:32" s="1558" customFormat="1" ht="11.25" customHeight="1">
      <c r="A261" s="899"/>
      <c r="B261" s="1553"/>
      <c r="C261" s="1553"/>
      <c r="D261" s="272"/>
      <c r="L261" s="1062"/>
      <c r="M261" s="1553"/>
      <c r="N261" s="1553"/>
      <c r="O261" s="1062"/>
      <c r="P261" s="1062"/>
      <c r="Q261" s="1062"/>
      <c r="R261" s="1062"/>
      <c r="S261" s="1553"/>
      <c r="T261" s="1062"/>
      <c r="U261" s="1062"/>
      <c r="V261" s="468"/>
      <c r="W261" s="1062"/>
      <c r="X261" s="1062"/>
      <c r="Y261" s="1062"/>
      <c r="Z261" s="1062"/>
      <c r="AA261" s="1062"/>
      <c r="AB261" s="1549"/>
      <c r="AC261" s="487"/>
      <c r="AD261" s="487"/>
      <c r="AE261" s="487"/>
      <c r="AF261" s="487"/>
    </row>
    <row r="262" spans="1:32" s="1558" customFormat="1" ht="11.25" customHeight="1">
      <c r="A262" s="899"/>
      <c r="B262" s="1553"/>
      <c r="C262" s="1553"/>
      <c r="D262" s="272"/>
      <c r="L262" s="1062"/>
      <c r="M262" s="1553"/>
      <c r="N262" s="1553"/>
      <c r="O262" s="1062"/>
      <c r="P262" s="1062"/>
      <c r="Q262" s="1062"/>
      <c r="R262" s="1062"/>
      <c r="S262" s="1553"/>
      <c r="T262" s="1062"/>
      <c r="U262" s="1062"/>
      <c r="V262" s="468"/>
      <c r="W262" s="1062"/>
      <c r="X262" s="1062"/>
      <c r="Y262" s="1062"/>
      <c r="Z262" s="1062"/>
      <c r="AA262" s="1062"/>
      <c r="AB262" s="1549"/>
      <c r="AC262" s="487"/>
      <c r="AD262" s="487"/>
      <c r="AE262" s="487"/>
      <c r="AF262" s="487"/>
    </row>
    <row r="263" spans="1:32" s="1558" customFormat="1" ht="11.25" customHeight="1">
      <c r="A263" s="899"/>
      <c r="B263" s="1553"/>
      <c r="C263" s="1553"/>
      <c r="D263" s="272"/>
      <c r="L263" s="1062"/>
      <c r="M263" s="1553"/>
      <c r="N263" s="1553"/>
      <c r="O263" s="1062"/>
      <c r="P263" s="1062"/>
      <c r="Q263" s="1062"/>
      <c r="R263" s="1062"/>
      <c r="S263" s="1553"/>
      <c r="T263" s="1062"/>
      <c r="U263" s="1062"/>
      <c r="V263" s="468"/>
      <c r="W263" s="1062"/>
      <c r="X263" s="1062"/>
      <c r="Y263" s="1062"/>
      <c r="Z263" s="1062"/>
      <c r="AA263" s="1062"/>
      <c r="AB263" s="1549"/>
      <c r="AC263" s="487"/>
      <c r="AD263" s="487"/>
      <c r="AE263" s="487"/>
      <c r="AF263" s="487"/>
    </row>
    <row r="264" spans="1:32" s="1558" customFormat="1" ht="11.25" customHeight="1">
      <c r="A264" s="899"/>
      <c r="B264" s="1553"/>
      <c r="C264" s="1553"/>
      <c r="D264" s="272"/>
      <c r="L264" s="1062"/>
      <c r="M264" s="1553"/>
      <c r="N264" s="1553"/>
      <c r="O264" s="1062"/>
      <c r="P264" s="1062"/>
      <c r="Q264" s="1062"/>
      <c r="R264" s="1062"/>
      <c r="S264" s="1553"/>
      <c r="T264" s="1062"/>
      <c r="U264" s="1062"/>
      <c r="V264" s="468"/>
      <c r="W264" s="1062"/>
      <c r="X264" s="1062"/>
      <c r="Y264" s="1062"/>
      <c r="Z264" s="1062"/>
      <c r="AA264" s="1062"/>
      <c r="AB264" s="1549"/>
      <c r="AC264" s="487"/>
      <c r="AD264" s="487"/>
      <c r="AE264" s="487"/>
      <c r="AF264" s="487"/>
    </row>
    <row r="265" spans="1:32" s="1558" customFormat="1" ht="11.25" customHeight="1">
      <c r="A265" s="899"/>
      <c r="B265" s="1553"/>
      <c r="C265" s="1553"/>
      <c r="D265" s="272"/>
      <c r="L265" s="1062"/>
      <c r="M265" s="1553"/>
      <c r="N265" s="1553"/>
      <c r="O265" s="1062"/>
      <c r="P265" s="1062"/>
      <c r="Q265" s="1062"/>
      <c r="R265" s="1062"/>
      <c r="S265" s="1553"/>
      <c r="T265" s="1062"/>
      <c r="U265" s="1062"/>
      <c r="V265" s="468"/>
      <c r="W265" s="1062"/>
      <c r="X265" s="1062"/>
      <c r="Y265" s="1062"/>
      <c r="Z265" s="1062"/>
      <c r="AA265" s="1062"/>
      <c r="AB265" s="1549"/>
      <c r="AC265" s="487"/>
      <c r="AD265" s="487"/>
      <c r="AE265" s="487"/>
      <c r="AF265" s="487"/>
    </row>
    <row r="266" spans="1:32" s="1558" customFormat="1" ht="11.25" customHeight="1">
      <c r="A266" s="899"/>
      <c r="B266" s="1553"/>
      <c r="C266" s="1553"/>
      <c r="D266" s="272"/>
      <c r="L266" s="1062"/>
      <c r="M266" s="1553"/>
      <c r="N266" s="1553"/>
      <c r="O266" s="1062"/>
      <c r="P266" s="1062"/>
      <c r="Q266" s="1062"/>
      <c r="R266" s="1062"/>
      <c r="S266" s="1553"/>
      <c r="T266" s="1062"/>
      <c r="U266" s="1062"/>
      <c r="V266" s="468"/>
      <c r="W266" s="1062"/>
      <c r="X266" s="1062"/>
      <c r="Y266" s="1062"/>
      <c r="Z266" s="1062"/>
      <c r="AA266" s="1062"/>
      <c r="AB266" s="1549"/>
      <c r="AC266" s="487"/>
      <c r="AD266" s="487"/>
      <c r="AE266" s="487"/>
      <c r="AF266" s="487"/>
    </row>
    <row r="267" spans="1:32" s="1558" customFormat="1" ht="11.25" customHeight="1">
      <c r="A267" s="899"/>
      <c r="B267" s="1553"/>
      <c r="C267" s="1553"/>
      <c r="D267" s="272"/>
      <c r="L267" s="1062"/>
      <c r="M267" s="1553"/>
      <c r="N267" s="1553"/>
      <c r="O267" s="1062"/>
      <c r="P267" s="1062"/>
      <c r="Q267" s="1062"/>
      <c r="R267" s="1062"/>
      <c r="S267" s="1553"/>
      <c r="T267" s="1062"/>
      <c r="U267" s="1062"/>
      <c r="V267" s="468"/>
      <c r="W267" s="1062"/>
      <c r="X267" s="1062"/>
      <c r="Y267" s="1062"/>
      <c r="Z267" s="1062"/>
      <c r="AA267" s="1062"/>
      <c r="AB267" s="1549"/>
      <c r="AC267" s="487"/>
      <c r="AD267" s="487"/>
      <c r="AE267" s="487"/>
      <c r="AF267" s="487"/>
    </row>
    <row r="268" spans="1:32" s="1558" customFormat="1" ht="11.25" customHeight="1">
      <c r="A268" s="899"/>
      <c r="B268" s="1553"/>
      <c r="C268" s="1553"/>
      <c r="D268" s="272"/>
      <c r="L268" s="1062"/>
      <c r="M268" s="1553"/>
      <c r="N268" s="1553"/>
      <c r="O268" s="1062"/>
      <c r="P268" s="1062"/>
      <c r="Q268" s="1062"/>
      <c r="R268" s="1062"/>
      <c r="S268" s="1553"/>
      <c r="T268" s="1062"/>
      <c r="U268" s="1062"/>
      <c r="V268" s="468"/>
      <c r="W268" s="1062"/>
      <c r="X268" s="1062"/>
      <c r="Y268" s="1062"/>
      <c r="Z268" s="1062"/>
      <c r="AA268" s="1062"/>
      <c r="AB268" s="1549"/>
      <c r="AC268" s="487"/>
      <c r="AD268" s="487"/>
      <c r="AE268" s="487"/>
      <c r="AF268" s="487"/>
    </row>
    <row r="269" spans="1:32" s="1558" customFormat="1" ht="11.25" customHeight="1">
      <c r="A269" s="899"/>
      <c r="B269" s="1553"/>
      <c r="C269" s="1553"/>
      <c r="D269" s="272"/>
      <c r="L269" s="1062"/>
      <c r="M269" s="1553"/>
      <c r="N269" s="1553"/>
      <c r="O269" s="1062"/>
      <c r="P269" s="1062"/>
      <c r="Q269" s="1062"/>
      <c r="R269" s="1062"/>
      <c r="S269" s="1553"/>
      <c r="T269" s="1062"/>
      <c r="U269" s="1062"/>
      <c r="V269" s="468"/>
      <c r="W269" s="1062"/>
      <c r="X269" s="1062"/>
      <c r="Y269" s="1062"/>
      <c r="Z269" s="1062"/>
      <c r="AA269" s="1062"/>
      <c r="AB269" s="1549"/>
      <c r="AC269" s="487"/>
      <c r="AD269" s="487"/>
      <c r="AE269" s="487"/>
      <c r="AF269" s="487"/>
    </row>
    <row r="270" spans="1:32" s="1558" customFormat="1" ht="11.25" customHeight="1">
      <c r="A270" s="899"/>
      <c r="B270" s="1553"/>
      <c r="C270" s="1553"/>
      <c r="D270" s="272"/>
      <c r="L270" s="1062"/>
      <c r="M270" s="1553"/>
      <c r="N270" s="1553"/>
      <c r="O270" s="1062"/>
      <c r="P270" s="1062"/>
      <c r="Q270" s="1062"/>
      <c r="R270" s="1062"/>
      <c r="S270" s="1553"/>
      <c r="T270" s="1062"/>
      <c r="U270" s="1062"/>
      <c r="V270" s="468"/>
      <c r="W270" s="1062"/>
      <c r="X270" s="1062"/>
      <c r="Y270" s="1062"/>
      <c r="Z270" s="1062"/>
      <c r="AA270" s="1062"/>
      <c r="AB270" s="1549"/>
      <c r="AC270" s="487"/>
      <c r="AD270" s="487"/>
      <c r="AE270" s="487"/>
      <c r="AF270" s="487"/>
    </row>
    <row r="271" spans="1:32" s="1558" customFormat="1" ht="11.25" customHeight="1">
      <c r="A271" s="899"/>
      <c r="B271" s="1553"/>
      <c r="C271" s="1553"/>
      <c r="D271" s="272"/>
      <c r="L271" s="1062"/>
      <c r="M271" s="1553"/>
      <c r="N271" s="1553"/>
      <c r="O271" s="1062"/>
      <c r="P271" s="1062"/>
      <c r="Q271" s="1062"/>
      <c r="R271" s="1062"/>
      <c r="S271" s="1553"/>
      <c r="T271" s="1062"/>
      <c r="U271" s="1062"/>
      <c r="V271" s="468"/>
      <c r="W271" s="1062"/>
      <c r="X271" s="1062"/>
      <c r="Y271" s="1062"/>
      <c r="Z271" s="1062"/>
      <c r="AA271" s="1062"/>
      <c r="AB271" s="1549"/>
      <c r="AC271" s="487"/>
      <c r="AD271" s="487"/>
      <c r="AE271" s="487"/>
      <c r="AF271" s="487"/>
    </row>
    <row r="272" spans="1:32" s="1558" customFormat="1" ht="11.25" customHeight="1">
      <c r="A272" s="899"/>
      <c r="B272" s="1553"/>
      <c r="C272" s="1553"/>
      <c r="D272" s="272"/>
      <c r="L272" s="1062"/>
      <c r="M272" s="1553"/>
      <c r="N272" s="1553"/>
      <c r="O272" s="1062"/>
      <c r="P272" s="1062"/>
      <c r="Q272" s="1062"/>
      <c r="R272" s="1062"/>
      <c r="S272" s="1553"/>
      <c r="T272" s="1062"/>
      <c r="U272" s="1062"/>
      <c r="V272" s="468"/>
      <c r="W272" s="1062"/>
      <c r="X272" s="1062"/>
      <c r="Y272" s="1062"/>
      <c r="Z272" s="1062"/>
      <c r="AA272" s="1062"/>
      <c r="AB272" s="1549"/>
      <c r="AC272" s="487"/>
      <c r="AD272" s="487"/>
      <c r="AE272" s="487"/>
      <c r="AF272" s="487"/>
    </row>
    <row r="273" spans="1:32" s="1558" customFormat="1" ht="11.25" customHeight="1">
      <c r="A273" s="899"/>
      <c r="B273" s="1553"/>
      <c r="C273" s="1553"/>
      <c r="D273" s="272"/>
      <c r="L273" s="1062"/>
      <c r="M273" s="1553"/>
      <c r="N273" s="1553"/>
      <c r="O273" s="1062"/>
      <c r="P273" s="1062"/>
      <c r="Q273" s="1062"/>
      <c r="R273" s="1062"/>
      <c r="S273" s="1553"/>
      <c r="T273" s="1062"/>
      <c r="U273" s="1062"/>
      <c r="V273" s="468"/>
      <c r="W273" s="1062"/>
      <c r="X273" s="1062"/>
      <c r="Y273" s="1062"/>
      <c r="Z273" s="1062"/>
      <c r="AA273" s="1062"/>
      <c r="AB273" s="1549"/>
      <c r="AC273" s="487"/>
      <c r="AD273" s="487"/>
      <c r="AE273" s="487"/>
      <c r="AF273" s="487"/>
    </row>
    <row r="274" spans="1:32" s="1558" customFormat="1" ht="11.25" customHeight="1">
      <c r="A274" s="899"/>
      <c r="B274" s="1553"/>
      <c r="C274" s="1553"/>
      <c r="D274" s="272"/>
      <c r="L274" s="1062"/>
      <c r="M274" s="1553"/>
      <c r="N274" s="1553"/>
      <c r="O274" s="1062"/>
      <c r="P274" s="1062"/>
      <c r="Q274" s="1062"/>
      <c r="R274" s="1062"/>
      <c r="S274" s="1553"/>
      <c r="T274" s="1062"/>
      <c r="U274" s="1062"/>
      <c r="V274" s="468"/>
      <c r="W274" s="1062"/>
      <c r="X274" s="1062"/>
      <c r="Y274" s="1062"/>
      <c r="Z274" s="1062"/>
      <c r="AA274" s="1062"/>
      <c r="AB274" s="1549"/>
      <c r="AC274" s="487"/>
      <c r="AD274" s="487"/>
      <c r="AE274" s="487"/>
      <c r="AF274" s="487"/>
    </row>
    <row r="275" spans="1:32" s="1558" customFormat="1" ht="11.25" customHeight="1">
      <c r="A275" s="899"/>
      <c r="B275" s="1553"/>
      <c r="C275" s="1553"/>
      <c r="D275" s="272"/>
      <c r="L275" s="1062"/>
      <c r="M275" s="1553"/>
      <c r="N275" s="1553"/>
      <c r="O275" s="1062"/>
      <c r="P275" s="1062"/>
      <c r="Q275" s="1062"/>
      <c r="R275" s="1062"/>
      <c r="S275" s="1553"/>
      <c r="T275" s="1062"/>
      <c r="U275" s="1062"/>
      <c r="V275" s="468"/>
      <c r="W275" s="1062"/>
      <c r="X275" s="1062"/>
      <c r="Y275" s="1062"/>
      <c r="Z275" s="1062"/>
      <c r="AA275" s="1062"/>
      <c r="AB275" s="1549"/>
      <c r="AC275" s="487"/>
      <c r="AD275" s="487"/>
      <c r="AE275" s="487"/>
      <c r="AF275" s="487"/>
    </row>
    <row r="276" spans="1:32" s="1558" customFormat="1" ht="11.25" customHeight="1">
      <c r="A276" s="899"/>
      <c r="B276" s="1553"/>
      <c r="C276" s="1553"/>
      <c r="D276" s="272"/>
      <c r="L276" s="1062"/>
      <c r="M276" s="1553"/>
      <c r="N276" s="1553"/>
      <c r="O276" s="1062"/>
      <c r="P276" s="1062"/>
      <c r="Q276" s="1062"/>
      <c r="R276" s="1062"/>
      <c r="S276" s="1553"/>
      <c r="T276" s="1062"/>
      <c r="U276" s="1062"/>
      <c r="V276" s="468"/>
      <c r="W276" s="1062"/>
      <c r="X276" s="1062"/>
      <c r="Y276" s="1062"/>
      <c r="Z276" s="1062"/>
      <c r="AA276" s="1062"/>
      <c r="AB276" s="1549"/>
      <c r="AC276" s="487"/>
      <c r="AD276" s="487"/>
      <c r="AE276" s="487"/>
      <c r="AF276" s="487"/>
    </row>
    <row r="277" spans="1:32" s="1558" customFormat="1" ht="11.25" customHeight="1">
      <c r="A277" s="899"/>
      <c r="B277" s="1553"/>
      <c r="C277" s="1553"/>
      <c r="D277" s="272"/>
      <c r="L277" s="1062"/>
      <c r="M277" s="1553"/>
      <c r="N277" s="1553"/>
      <c r="O277" s="1062"/>
      <c r="P277" s="1062"/>
      <c r="Q277" s="1062"/>
      <c r="R277" s="1062"/>
      <c r="S277" s="1553"/>
      <c r="T277" s="1062"/>
      <c r="U277" s="1062"/>
      <c r="V277" s="468"/>
      <c r="W277" s="1062"/>
      <c r="X277" s="1062"/>
      <c r="Y277" s="1062"/>
      <c r="Z277" s="1062"/>
      <c r="AA277" s="1062"/>
      <c r="AB277" s="1549"/>
      <c r="AC277" s="487"/>
      <c r="AD277" s="487"/>
      <c r="AE277" s="487"/>
      <c r="AF277" s="487"/>
    </row>
    <row r="278" spans="1:32" s="1558" customFormat="1" ht="11.25" customHeight="1">
      <c r="A278" s="899"/>
      <c r="B278" s="1553"/>
      <c r="C278" s="1553"/>
      <c r="D278" s="272"/>
      <c r="L278" s="1062"/>
      <c r="M278" s="1553"/>
      <c r="N278" s="1553"/>
      <c r="O278" s="1062"/>
      <c r="P278" s="1062"/>
      <c r="Q278" s="1062"/>
      <c r="R278" s="1062"/>
      <c r="S278" s="1553"/>
      <c r="T278" s="1062"/>
      <c r="U278" s="1062"/>
      <c r="V278" s="468"/>
      <c r="W278" s="1062"/>
      <c r="X278" s="1062"/>
      <c r="Y278" s="1062"/>
      <c r="Z278" s="1062"/>
      <c r="AA278" s="1062"/>
      <c r="AB278" s="1549"/>
      <c r="AC278" s="487"/>
      <c r="AD278" s="487"/>
      <c r="AE278" s="487"/>
      <c r="AF278" s="487"/>
    </row>
    <row r="279" spans="1:32" s="1558" customFormat="1" ht="11.25" customHeight="1">
      <c r="A279" s="899"/>
      <c r="B279" s="1553"/>
      <c r="C279" s="1553"/>
      <c r="D279" s="272"/>
      <c r="L279" s="1062"/>
      <c r="M279" s="1553"/>
      <c r="N279" s="1553"/>
      <c r="O279" s="1062"/>
      <c r="P279" s="1062"/>
      <c r="Q279" s="1062"/>
      <c r="R279" s="1062"/>
      <c r="S279" s="1553"/>
      <c r="T279" s="1062"/>
      <c r="U279" s="1062"/>
      <c r="V279" s="468"/>
      <c r="W279" s="1062"/>
      <c r="X279" s="1062"/>
      <c r="Y279" s="1062"/>
      <c r="Z279" s="1062"/>
      <c r="AA279" s="1062"/>
      <c r="AB279" s="1549"/>
      <c r="AC279" s="487"/>
      <c r="AD279" s="487"/>
      <c r="AE279" s="487"/>
      <c r="AF279" s="487"/>
    </row>
    <row r="280" spans="1:32" s="1558" customFormat="1" ht="11.25" customHeight="1">
      <c r="A280" s="899"/>
      <c r="B280" s="1553"/>
      <c r="C280" s="1553"/>
      <c r="D280" s="272"/>
      <c r="L280" s="1062"/>
      <c r="M280" s="1553"/>
      <c r="N280" s="1553"/>
      <c r="O280" s="1062"/>
      <c r="P280" s="1062"/>
      <c r="Q280" s="1062"/>
      <c r="R280" s="1062"/>
      <c r="S280" s="1553"/>
      <c r="T280" s="1062"/>
      <c r="U280" s="1062"/>
      <c r="V280" s="468"/>
      <c r="W280" s="1062"/>
      <c r="X280" s="1062"/>
      <c r="Y280" s="1062"/>
      <c r="Z280" s="1062"/>
      <c r="AA280" s="1062"/>
      <c r="AB280" s="1549"/>
      <c r="AC280" s="487"/>
      <c r="AD280" s="487"/>
      <c r="AE280" s="487"/>
      <c r="AF280" s="487"/>
    </row>
    <row r="281" spans="1:32" s="1558" customFormat="1" ht="11.25" customHeight="1">
      <c r="A281" s="899"/>
      <c r="B281" s="1553"/>
      <c r="C281" s="1553"/>
      <c r="D281" s="272"/>
      <c r="L281" s="1062"/>
      <c r="M281" s="1553"/>
      <c r="N281" s="1553"/>
      <c r="O281" s="1062"/>
      <c r="P281" s="1062"/>
      <c r="Q281" s="1062"/>
      <c r="R281" s="1062"/>
      <c r="S281" s="1553"/>
      <c r="T281" s="1062"/>
      <c r="U281" s="1062"/>
      <c r="V281" s="468"/>
      <c r="W281" s="1062"/>
      <c r="X281" s="1062"/>
      <c r="Y281" s="1062"/>
      <c r="Z281" s="1062"/>
      <c r="AA281" s="1062"/>
      <c r="AB281" s="1549"/>
      <c r="AC281" s="487"/>
      <c r="AD281" s="487"/>
      <c r="AE281" s="487"/>
      <c r="AF281" s="487"/>
    </row>
    <row r="282" spans="1:32" s="1558" customFormat="1" ht="11.25" customHeight="1">
      <c r="A282" s="899"/>
      <c r="B282" s="1553"/>
      <c r="C282" s="1553"/>
      <c r="D282" s="272"/>
      <c r="L282" s="1062"/>
      <c r="M282" s="1553"/>
      <c r="N282" s="1553"/>
      <c r="O282" s="1062"/>
      <c r="P282" s="1062"/>
      <c r="Q282" s="1062"/>
      <c r="R282" s="1062"/>
      <c r="S282" s="1553"/>
      <c r="T282" s="1062"/>
      <c r="U282" s="1062"/>
      <c r="V282" s="468"/>
      <c r="W282" s="1062"/>
      <c r="X282" s="1062"/>
      <c r="Y282" s="1062"/>
      <c r="Z282" s="1062"/>
      <c r="AA282" s="1062"/>
      <c r="AB282" s="1549"/>
      <c r="AC282" s="487"/>
      <c r="AD282" s="487"/>
      <c r="AE282" s="487"/>
      <c r="AF282" s="487"/>
    </row>
    <row r="283" spans="1:32" s="1558" customFormat="1" ht="11.25" customHeight="1">
      <c r="A283" s="899"/>
      <c r="B283" s="1553"/>
      <c r="C283" s="1553"/>
      <c r="D283" s="272"/>
      <c r="L283" s="1062"/>
      <c r="M283" s="1553"/>
      <c r="N283" s="1553"/>
      <c r="O283" s="1062"/>
      <c r="P283" s="1062"/>
      <c r="Q283" s="1062"/>
      <c r="R283" s="1062"/>
      <c r="S283" s="1553"/>
      <c r="T283" s="1062"/>
      <c r="U283" s="1062"/>
      <c r="V283" s="468"/>
      <c r="W283" s="1062"/>
      <c r="X283" s="1062"/>
      <c r="Y283" s="1062"/>
      <c r="Z283" s="1062"/>
      <c r="AA283" s="1062"/>
      <c r="AB283" s="1549"/>
      <c r="AC283" s="487"/>
      <c r="AD283" s="487"/>
      <c r="AE283" s="487"/>
      <c r="AF283" s="487"/>
    </row>
    <row r="284" spans="1:32" s="1558" customFormat="1" ht="11.25" customHeight="1">
      <c r="A284" s="899"/>
      <c r="B284" s="1553"/>
      <c r="C284" s="1553"/>
      <c r="D284" s="272"/>
      <c r="L284" s="1062"/>
      <c r="M284" s="1553"/>
      <c r="N284" s="1553"/>
      <c r="O284" s="1062"/>
      <c r="P284" s="1062"/>
      <c r="Q284" s="1062"/>
      <c r="R284" s="1062"/>
      <c r="S284" s="1553"/>
      <c r="T284" s="1062"/>
      <c r="U284" s="1062"/>
      <c r="V284" s="468"/>
      <c r="W284" s="1062"/>
      <c r="X284" s="1062"/>
      <c r="Y284" s="1062"/>
      <c r="Z284" s="1062"/>
      <c r="AA284" s="1062"/>
      <c r="AB284" s="1549"/>
      <c r="AC284" s="487"/>
      <c r="AD284" s="487"/>
      <c r="AE284" s="487"/>
      <c r="AF284" s="487"/>
    </row>
    <row r="285" spans="1:32" s="1558" customFormat="1" ht="11.25" customHeight="1">
      <c r="A285" s="899"/>
      <c r="B285" s="1553"/>
      <c r="C285" s="1553"/>
      <c r="D285" s="272"/>
      <c r="L285" s="1062"/>
      <c r="M285" s="1553"/>
      <c r="N285" s="1553"/>
      <c r="O285" s="1062"/>
      <c r="P285" s="1062"/>
      <c r="Q285" s="1062"/>
      <c r="R285" s="1062"/>
      <c r="S285" s="1553"/>
      <c r="T285" s="1062"/>
      <c r="U285" s="1062"/>
      <c r="V285" s="468"/>
      <c r="W285" s="1062"/>
      <c r="X285" s="1062"/>
      <c r="Y285" s="1062"/>
      <c r="Z285" s="1062"/>
      <c r="AA285" s="1062"/>
      <c r="AB285" s="1549"/>
      <c r="AC285" s="487"/>
      <c r="AD285" s="487"/>
      <c r="AE285" s="487"/>
      <c r="AF285" s="487"/>
    </row>
    <row r="286" spans="1:32" s="1558" customFormat="1" ht="11.25" customHeight="1">
      <c r="A286" s="899"/>
      <c r="B286" s="1553"/>
      <c r="C286" s="1553"/>
      <c r="D286" s="272"/>
      <c r="L286" s="1062"/>
      <c r="M286" s="1553"/>
      <c r="N286" s="1553"/>
      <c r="O286" s="1062"/>
      <c r="P286" s="1062"/>
      <c r="Q286" s="1062"/>
      <c r="R286" s="1062"/>
      <c r="S286" s="1553"/>
      <c r="T286" s="1062"/>
      <c r="U286" s="1062"/>
      <c r="V286" s="468"/>
      <c r="W286" s="1062"/>
      <c r="X286" s="1062"/>
      <c r="Y286" s="1062"/>
      <c r="Z286" s="1062"/>
      <c r="AA286" s="1062"/>
      <c r="AB286" s="1549"/>
      <c r="AC286" s="487"/>
      <c r="AD286" s="487"/>
      <c r="AE286" s="487"/>
      <c r="AF286" s="487"/>
    </row>
    <row r="287" spans="1:32" s="1558" customFormat="1" ht="11.25" customHeight="1">
      <c r="A287" s="899"/>
      <c r="B287" s="1553"/>
      <c r="C287" s="1553"/>
      <c r="D287" s="272"/>
      <c r="L287" s="1062"/>
      <c r="M287" s="1553"/>
      <c r="N287" s="1553"/>
      <c r="O287" s="1062"/>
      <c r="P287" s="1062"/>
      <c r="Q287" s="1062"/>
      <c r="R287" s="1062"/>
      <c r="S287" s="1553"/>
      <c r="T287" s="1062"/>
      <c r="U287" s="1062"/>
      <c r="V287" s="468"/>
      <c r="W287" s="1062"/>
      <c r="X287" s="1062"/>
      <c r="Y287" s="1062"/>
      <c r="Z287" s="1062"/>
      <c r="AA287" s="1062"/>
      <c r="AB287" s="1549"/>
      <c r="AC287" s="487"/>
      <c r="AD287" s="487"/>
      <c r="AE287" s="487"/>
      <c r="AF287" s="487"/>
    </row>
    <row r="288" spans="1:32" s="1558" customFormat="1" ht="11.25" customHeight="1">
      <c r="A288" s="899"/>
      <c r="B288" s="1553"/>
      <c r="C288" s="1553"/>
      <c r="D288" s="272"/>
      <c r="L288" s="1062"/>
      <c r="M288" s="1553"/>
      <c r="N288" s="1553"/>
      <c r="O288" s="1062"/>
      <c r="P288" s="1062"/>
      <c r="Q288" s="1062"/>
      <c r="R288" s="1062"/>
      <c r="S288" s="1553"/>
      <c r="T288" s="1062"/>
      <c r="U288" s="1062"/>
      <c r="V288" s="468"/>
      <c r="W288" s="1062"/>
      <c r="X288" s="1062"/>
      <c r="Y288" s="1062"/>
      <c r="Z288" s="1062"/>
      <c r="AA288" s="1062"/>
      <c r="AB288" s="1549"/>
      <c r="AC288" s="487"/>
      <c r="AD288" s="487"/>
      <c r="AE288" s="487"/>
      <c r="AF288" s="487"/>
    </row>
    <row r="292" spans="1:32" ht="11.25" customHeight="1">
      <c r="A292" s="902"/>
      <c r="B292" s="1548"/>
      <c r="D292" s="1548"/>
      <c r="L292" s="1548"/>
      <c r="O292" s="1548"/>
      <c r="P292" s="1548"/>
      <c r="Q292" s="1548"/>
      <c r="R292" s="1548"/>
      <c r="T292" s="1548"/>
      <c r="U292" s="1548"/>
      <c r="V292" s="1548"/>
      <c r="W292" s="1548"/>
      <c r="X292" s="1548"/>
      <c r="Y292" s="1548"/>
      <c r="Z292" s="1548"/>
      <c r="AA292" s="1548"/>
      <c r="AB292" s="1548"/>
      <c r="AC292" s="1548"/>
      <c r="AD292" s="1548"/>
      <c r="AE292" s="1548"/>
      <c r="AF292" s="1548"/>
    </row>
    <row r="293" spans="1:32" ht="11.25" customHeight="1">
      <c r="A293" s="902"/>
      <c r="B293" s="1548"/>
      <c r="D293" s="1548"/>
      <c r="L293" s="1548"/>
      <c r="O293" s="1548"/>
      <c r="P293" s="1548"/>
      <c r="Q293" s="1548"/>
      <c r="R293" s="1548"/>
      <c r="T293" s="1548"/>
      <c r="U293" s="1548"/>
      <c r="V293" s="1548"/>
      <c r="W293" s="1548"/>
      <c r="X293" s="1548"/>
      <c r="Y293" s="1548"/>
      <c r="Z293" s="1548"/>
      <c r="AA293" s="1548"/>
      <c r="AB293" s="1548"/>
      <c r="AC293" s="1548"/>
      <c r="AD293" s="1548"/>
      <c r="AE293" s="1548"/>
      <c r="AF293" s="1548"/>
    </row>
    <row r="294" spans="1:32" ht="11.25" customHeight="1">
      <c r="A294" s="902"/>
      <c r="B294" s="1548"/>
      <c r="D294" s="1548"/>
      <c r="L294" s="1548"/>
      <c r="O294" s="1548"/>
      <c r="P294" s="1548"/>
      <c r="Q294" s="1548"/>
      <c r="R294" s="1548"/>
      <c r="T294" s="1548"/>
      <c r="U294" s="1548"/>
      <c r="V294" s="1548"/>
      <c r="W294" s="1548"/>
      <c r="X294" s="1548"/>
      <c r="Y294" s="1548"/>
      <c r="Z294" s="1548"/>
      <c r="AA294" s="1548"/>
      <c r="AB294" s="1548"/>
      <c r="AC294" s="1548"/>
      <c r="AD294" s="1548"/>
      <c r="AE294" s="1548"/>
      <c r="AF294" s="1548"/>
    </row>
    <row r="295" spans="1:32" ht="11.25" customHeight="1">
      <c r="A295" s="902"/>
      <c r="B295" s="1548"/>
      <c r="D295" s="1548"/>
      <c r="L295" s="1548"/>
      <c r="O295" s="1548"/>
      <c r="P295" s="1548"/>
      <c r="Q295" s="1548"/>
      <c r="R295" s="1548"/>
      <c r="T295" s="1548"/>
      <c r="U295" s="1548"/>
      <c r="V295" s="1548"/>
      <c r="W295" s="1548"/>
      <c r="X295" s="1548"/>
      <c r="Y295" s="1548"/>
      <c r="Z295" s="1548"/>
      <c r="AA295" s="1548"/>
      <c r="AB295" s="1548"/>
      <c r="AC295" s="1548"/>
      <c r="AD295" s="1548"/>
      <c r="AE295" s="1548"/>
      <c r="AF295" s="1548"/>
    </row>
    <row r="296" spans="1:32" ht="11.25" customHeight="1">
      <c r="A296" s="902"/>
      <c r="B296" s="1548"/>
      <c r="D296" s="1548"/>
      <c r="L296" s="1548"/>
      <c r="O296" s="1548"/>
      <c r="P296" s="1548"/>
      <c r="Q296" s="1548"/>
      <c r="R296" s="1548"/>
      <c r="T296" s="1548"/>
      <c r="U296" s="1548"/>
      <c r="V296" s="1548"/>
      <c r="W296" s="1548"/>
      <c r="X296" s="1548"/>
      <c r="Y296" s="1548"/>
      <c r="Z296" s="1548"/>
      <c r="AA296" s="1548"/>
      <c r="AB296" s="1548"/>
      <c r="AC296" s="1548"/>
      <c r="AD296" s="1548"/>
      <c r="AE296" s="1548"/>
      <c r="AF296" s="1548"/>
    </row>
    <row r="297" spans="1:32" ht="11.25" customHeight="1">
      <c r="A297" s="902"/>
      <c r="B297" s="1548"/>
      <c r="D297" s="1548"/>
      <c r="L297" s="1548"/>
      <c r="O297" s="1548"/>
      <c r="P297" s="1548"/>
      <c r="Q297" s="1548"/>
      <c r="R297" s="1548"/>
      <c r="T297" s="1548"/>
      <c r="U297" s="1548"/>
      <c r="V297" s="1548"/>
      <c r="W297" s="1548"/>
      <c r="X297" s="1548"/>
      <c r="Y297" s="1548"/>
      <c r="Z297" s="1548"/>
      <c r="AA297" s="1548"/>
      <c r="AB297" s="1548"/>
      <c r="AC297" s="1548"/>
      <c r="AD297" s="1548"/>
      <c r="AE297" s="1548"/>
      <c r="AF297" s="1548"/>
    </row>
    <row r="298" spans="1:32" ht="11.25" customHeight="1">
      <c r="A298" s="902"/>
      <c r="B298" s="1548"/>
      <c r="D298" s="1548"/>
      <c r="L298" s="1548"/>
      <c r="O298" s="1548"/>
      <c r="P298" s="1548"/>
      <c r="Q298" s="1548"/>
      <c r="R298" s="1548"/>
      <c r="T298" s="1548"/>
      <c r="U298" s="1548"/>
      <c r="V298" s="1548"/>
      <c r="W298" s="1548"/>
      <c r="X298" s="1548"/>
      <c r="Y298" s="1548"/>
      <c r="Z298" s="1548"/>
      <c r="AA298" s="1548"/>
      <c r="AB298" s="1548"/>
      <c r="AC298" s="1548"/>
      <c r="AD298" s="1548"/>
      <c r="AE298" s="1548"/>
      <c r="AF298" s="1548"/>
    </row>
    <row r="299" spans="1:32" ht="11.25" customHeight="1">
      <c r="A299" s="902"/>
      <c r="B299" s="1548"/>
      <c r="D299" s="1548"/>
      <c r="L299" s="1548"/>
      <c r="O299" s="1548"/>
      <c r="P299" s="1548"/>
      <c r="Q299" s="1548"/>
      <c r="R299" s="1548"/>
      <c r="T299" s="1548"/>
      <c r="U299" s="1548"/>
      <c r="V299" s="1548"/>
      <c r="W299" s="1548"/>
      <c r="X299" s="1548"/>
      <c r="Y299" s="1548"/>
      <c r="Z299" s="1548"/>
      <c r="AA299" s="1548"/>
      <c r="AB299" s="1548"/>
      <c r="AC299" s="1548"/>
      <c r="AD299" s="1548"/>
      <c r="AE299" s="1548"/>
      <c r="AF299" s="1548"/>
    </row>
    <row r="300" spans="1:32" ht="11.25" customHeight="1">
      <c r="A300" s="902"/>
      <c r="B300" s="1548"/>
      <c r="D300" s="1548"/>
      <c r="L300" s="1548"/>
      <c r="O300" s="1548"/>
      <c r="P300" s="1548"/>
      <c r="Q300" s="1548"/>
      <c r="R300" s="1548"/>
      <c r="T300" s="1548"/>
      <c r="U300" s="1548"/>
      <c r="V300" s="1548"/>
      <c r="W300" s="1548"/>
      <c r="X300" s="1548"/>
      <c r="Y300" s="1548"/>
      <c r="Z300" s="1548"/>
      <c r="AA300" s="1548"/>
      <c r="AB300" s="1548"/>
      <c r="AC300" s="1548"/>
      <c r="AD300" s="1548"/>
      <c r="AE300" s="1548"/>
      <c r="AF300" s="1548"/>
    </row>
    <row r="301" spans="1:32" ht="11.25" customHeight="1">
      <c r="A301" s="902"/>
      <c r="B301" s="1548"/>
      <c r="D301" s="1548"/>
      <c r="L301" s="1548"/>
      <c r="O301" s="1548"/>
      <c r="P301" s="1548"/>
      <c r="Q301" s="1548"/>
      <c r="R301" s="1548"/>
      <c r="T301" s="1548"/>
      <c r="U301" s="1548"/>
      <c r="V301" s="1548"/>
      <c r="W301" s="1548"/>
      <c r="X301" s="1548"/>
      <c r="Y301" s="1548"/>
      <c r="Z301" s="1548"/>
      <c r="AA301" s="1548"/>
      <c r="AB301" s="1548"/>
      <c r="AC301" s="1548"/>
      <c r="AD301" s="1548"/>
      <c r="AE301" s="1548"/>
      <c r="AF301" s="1548"/>
    </row>
    <row r="302" spans="1:32" ht="11.25" customHeight="1">
      <c r="A302" s="902"/>
      <c r="B302" s="1548"/>
      <c r="D302" s="1548"/>
      <c r="L302" s="1548"/>
      <c r="O302" s="1548"/>
      <c r="P302" s="1548"/>
      <c r="Q302" s="1548"/>
      <c r="R302" s="1548"/>
      <c r="T302" s="1548"/>
      <c r="U302" s="1548"/>
      <c r="V302" s="1548"/>
      <c r="W302" s="1548"/>
      <c r="X302" s="1548"/>
      <c r="Y302" s="1548"/>
      <c r="Z302" s="1548"/>
      <c r="AA302" s="1548"/>
      <c r="AB302" s="1548"/>
      <c r="AC302" s="1548"/>
      <c r="AD302" s="1548"/>
      <c r="AE302" s="1548"/>
      <c r="AF302" s="1548"/>
    </row>
  </sheetData>
  <sheetProtection formatColumns="0" formatRows="0" insertRows="0" deleteColumns="0" deleteRows="0" sort="0" autoFilter="0"/>
  <mergeCells count="17">
    <mergeCell ref="B2:B7"/>
    <mergeCell ref="F25:G25"/>
    <mergeCell ref="F26:G26"/>
    <mergeCell ref="F27:G27"/>
    <mergeCell ref="E28:G28"/>
    <mergeCell ref="A120:A130"/>
    <mergeCell ref="E21:I21"/>
    <mergeCell ref="E22:I22"/>
    <mergeCell ref="A33:A40"/>
    <mergeCell ref="B34:B39"/>
    <mergeCell ref="A41:A43"/>
    <mergeCell ref="A67:A68"/>
    <mergeCell ref="A82:A90"/>
    <mergeCell ref="A91:A95"/>
    <mergeCell ref="A96:A98"/>
    <mergeCell ref="A99:A111"/>
    <mergeCell ref="A115:A119"/>
  </mergeCells>
  <dataValidations count="11">
    <dataValidation allowBlank="1" showInputMessage="1" showErrorMessage="1" prompt="Для выбора выполните двойной щелчок левой клавиши мыши по соответствующей ячейке." sqref="H68:J68 H66:J66 K66 K68"/>
    <dataValidation type="decimal" allowBlank="1" showErrorMessage="1" errorTitle="Ошибка" error="Введите значение от 0 до 100%" sqref="H90:J90 H95:J95 K90 K95">
      <formula1>0</formula1>
      <formula2>100</formula2>
    </dataValidation>
    <dataValidation type="decimal" allowBlank="1" showErrorMessage="1" errorTitle="Ошибка" error="Допускается ввод только действительных чисел!" sqref="H123:J123 H120:J120 H126:J126 H75:J80 K75 K76 K77 K78 K79 K80 K120 K123 K126">
      <formula1>-9.99999999999999E+37</formula1>
      <formula2>9.99999999999999E+37</formula2>
    </dataValidation>
    <dataValidation type="decimal" allowBlank="1" showErrorMessage="1" errorTitle="Ошибка" error="Допускается ввод только действительных чисел!" sqref="H72:J73 K72 K73">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H81:J81 H128:J130 K81 K128 K129 K130">
      <formula1>900</formula1>
    </dataValidation>
    <dataValidation type="list" allowBlank="1" showInputMessage="1" showErrorMessage="1" errorTitle="Ошибка" error="Выберите значение из списка" prompt="Выберите значение из списка" sqref="G93">
      <formula1>kind_of_volume_te_unit</formula1>
    </dataValidation>
    <dataValidation type="list" allowBlank="1" showInputMessage="1" showErrorMessage="1" errorTitle="Ошибка" error="Выберите значение из списка" prompt="Выберите значение из списка" sqref="F2">
      <formula1>kind_of_fuels</formula1>
    </dataValidation>
    <dataValidation type="decimal" allowBlank="1" showErrorMessage="1" errorTitle="Ошибка" error="Допускается ввод только неотрицательных чисел!" sqref="H67:J67 H69:J69 H91:J94 H127:J127 H30:J30 H32:J33 H35:J38 H40:J65 H82:J86 H17:J17 H9:J13 H15:J15 H96:J119 H74:J74 H88:J89 H4:J6 K4 K5 K6 K9 K10 K11 K12 K13 K15 K17 K30 K32 K33 K35 K36 K37 K38 K40 K41 K42 K43 K44 K45 K46 K47 K48 K49 K50 K51 K52 K53 K54 K55 K56 K57 K58 K59 K60 K61 K62 K63 K64 K65 K67 K69 K74 K82 K83 K84 K85 K86 K88 K89 K91 K92 K93 K94 K96 K97 K98 K99 K100 K101 K102 K103 K104 K105 K106 K107 K108 K109 K110 K111 K112 K113 K114 K115 K116 K117 K118 K119 K127">
      <formula1>0</formula1>
      <formula2>9.99999999999999E+23</formula2>
    </dataValidation>
    <dataValidation type="textLength" operator="lessThanOrEqual" allowBlank="1" showInputMessage="1" showErrorMessage="1" errorTitle="Ошибка" error="Допускается ввод не более 900 символов!" sqref="G4 H34:J34 H39:J39 K34 K39">
      <formula1>900</formula1>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F12 F10 H70:J70 K70">
      <formula1>900</formula1>
    </dataValidation>
    <dataValidation type="list" allowBlank="1" showInputMessage="1" showErrorMessage="1" errorTitle="Ошибка" error="Выберите значение из списка" prompt="Выберите значение из списка" sqref="H7:J7 K7">
      <formula1>kind_of_purchase_method</formula1>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249977111117893"/>
  </sheetPr>
  <dimension ref="A1:CE37"/>
  <sheetViews>
    <sheetView showGridLines="0" topLeftCell="C4" zoomScale="90" workbookViewId="0">
      <selection activeCell="A23" sqref="A23:XFD31"/>
    </sheetView>
  </sheetViews>
  <sheetFormatPr defaultColWidth="9.140625" defaultRowHeight="11.25" customHeight="1"/>
  <cols>
    <col min="1" max="1" width="14.7109375" style="856" hidden="1" customWidth="1"/>
    <col min="2" max="2" width="17" style="1549" hidden="1" customWidth="1"/>
    <col min="3" max="3" width="3.7109375" style="1552" customWidth="1"/>
    <col min="4" max="4" width="1.85546875" style="1552" hidden="1" customWidth="1"/>
    <col min="5" max="6" width="7.7109375" style="1552" customWidth="1"/>
    <col min="7" max="7" width="29.7109375" style="1552" customWidth="1"/>
    <col min="8" max="8" width="3.7109375" style="1552" customWidth="1"/>
    <col min="9" max="9" width="5.42578125" style="1552" customWidth="1"/>
    <col min="10" max="10" width="24.5703125" style="1552" customWidth="1"/>
    <col min="11" max="11" width="24.42578125" style="1552" customWidth="1"/>
    <col min="12" max="12" width="3.7109375" style="1552" customWidth="1"/>
    <col min="13" max="13" width="6.28515625" style="1552" customWidth="1"/>
    <col min="14" max="14" width="25.85546875" style="1552" customWidth="1"/>
    <col min="15" max="18" width="18.7109375" style="1552" customWidth="1"/>
    <col min="19" max="19" width="93.42578125" style="1552" customWidth="1"/>
    <col min="20" max="20" width="10.5703125" style="1552" customWidth="1"/>
    <col min="21" max="21" width="10.5703125" style="1559" customWidth="1"/>
    <col min="22" max="22" width="11.7109375" style="1559" customWidth="1"/>
    <col min="23" max="27" width="10.5703125" style="1549" customWidth="1"/>
    <col min="28" max="83" width="9.140625" style="1552"/>
  </cols>
  <sheetData>
    <row r="1" spans="1:83" ht="11.25" hidden="1" customHeight="1"/>
    <row r="2" spans="1:83" ht="11.25" hidden="1" customHeight="1"/>
    <row r="3" spans="1:83" ht="11.25" hidden="1" customHeight="1"/>
    <row r="4" spans="1:83" ht="3" customHeight="1">
      <c r="C4" s="435"/>
      <c r="D4" s="435"/>
      <c r="E4" s="435"/>
      <c r="F4" s="435"/>
      <c r="G4" s="435"/>
      <c r="H4" s="435"/>
      <c r="I4" s="435"/>
      <c r="J4" s="435"/>
      <c r="K4" s="84"/>
      <c r="L4" s="84"/>
      <c r="M4" s="84"/>
    </row>
    <row r="5" spans="1:83" ht="33.75" customHeight="1">
      <c r="C5" s="435"/>
      <c r="D5" s="965"/>
      <c r="E5" s="2101" t="str">
        <f>FHD20_NAME_FORM</f>
        <v>Форма 6.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v>
      </c>
      <c r="F5" s="2101"/>
      <c r="G5" s="2101"/>
      <c r="H5" s="2101"/>
      <c r="I5" s="2101"/>
      <c r="J5" s="2101"/>
      <c r="K5" s="2101"/>
      <c r="L5" s="530"/>
      <c r="M5" s="530"/>
    </row>
    <row r="6" spans="1:83" s="1552" customFormat="1" ht="16.5" customHeight="1">
      <c r="A6" s="527"/>
      <c r="B6" s="673"/>
      <c r="C6" s="435"/>
      <c r="D6" s="966"/>
      <c r="E6" s="1961" t="str">
        <f>IF(org=0,"Не определено",org)</f>
        <v>АО СЗ "КМАпроектжилстрой"</v>
      </c>
      <c r="F6" s="1961"/>
      <c r="G6" s="1961"/>
      <c r="H6" s="1961"/>
      <c r="I6" s="1961"/>
      <c r="J6" s="1961"/>
      <c r="K6" s="1961"/>
      <c r="L6" s="530"/>
      <c r="M6" s="530"/>
      <c r="U6" s="528"/>
      <c r="V6" s="528"/>
      <c r="W6" s="529"/>
      <c r="X6" s="673"/>
      <c r="Y6" s="673"/>
      <c r="Z6" s="673"/>
      <c r="AA6" s="673"/>
    </row>
    <row r="7" spans="1:83" ht="11.25" customHeight="1">
      <c r="C7" s="435"/>
      <c r="D7" s="435"/>
      <c r="E7" s="435"/>
      <c r="F7" s="435"/>
      <c r="G7" s="448"/>
      <c r="H7" s="448"/>
      <c r="I7" s="448"/>
      <c r="J7" s="448"/>
      <c r="K7" s="531"/>
      <c r="L7" s="531"/>
      <c r="M7" s="531"/>
      <c r="R7" s="666"/>
    </row>
    <row r="8" spans="1:83" s="1558" customFormat="1" ht="5.25" customHeight="1">
      <c r="A8" s="538"/>
      <c r="B8" s="487"/>
      <c r="C8" s="272"/>
      <c r="D8" s="272"/>
      <c r="E8" s="272"/>
      <c r="F8" s="272"/>
      <c r="G8" s="887"/>
      <c r="H8" s="887"/>
      <c r="I8" s="887"/>
      <c r="J8" s="887"/>
      <c r="K8" s="926"/>
      <c r="L8" s="926"/>
      <c r="M8" s="926"/>
      <c r="R8" s="927"/>
      <c r="U8" s="528"/>
      <c r="V8" s="528"/>
      <c r="W8" s="539"/>
      <c r="X8" s="487"/>
      <c r="Y8" s="487"/>
      <c r="Z8" s="487"/>
      <c r="AA8" s="487"/>
    </row>
    <row r="9" spans="1:83" ht="18.75" customHeight="1">
      <c r="D9" s="204"/>
      <c r="E9" s="1856" t="s">
        <v>291</v>
      </c>
      <c r="F9" s="1861"/>
      <c r="G9" s="1861"/>
      <c r="H9" s="1861"/>
      <c r="I9" s="1861"/>
      <c r="J9" s="1861"/>
      <c r="K9" s="1861"/>
      <c r="L9" s="1861"/>
      <c r="M9" s="1861"/>
      <c r="N9" s="1861"/>
      <c r="O9" s="1861"/>
      <c r="P9" s="1861"/>
      <c r="Q9" s="1861"/>
      <c r="R9" s="1855"/>
      <c r="S9" s="1874" t="s">
        <v>292</v>
      </c>
      <c r="T9" s="256"/>
    </row>
    <row r="10" spans="1:83" ht="33.75" customHeight="1">
      <c r="D10" s="475" t="s">
        <v>88</v>
      </c>
      <c r="E10" s="1874" t="s">
        <v>88</v>
      </c>
      <c r="F10" s="1874"/>
      <c r="G10" s="447" t="s">
        <v>293</v>
      </c>
      <c r="H10" s="1874" t="s">
        <v>88</v>
      </c>
      <c r="I10" s="1874"/>
      <c r="J10" s="447" t="s">
        <v>1749</v>
      </c>
      <c r="K10" s="447" t="s">
        <v>1750</v>
      </c>
      <c r="L10" s="1874" t="s">
        <v>88</v>
      </c>
      <c r="M10" s="1874"/>
      <c r="N10" s="447" t="s">
        <v>1751</v>
      </c>
      <c r="O10" s="447" t="s">
        <v>1752</v>
      </c>
      <c r="P10" s="447" t="s">
        <v>1753</v>
      </c>
      <c r="Q10" s="447" t="s">
        <v>1754</v>
      </c>
      <c r="R10" s="447" t="s">
        <v>1755</v>
      </c>
      <c r="S10" s="1874"/>
      <c r="T10" s="256"/>
    </row>
    <row r="11" spans="1:83" s="1559" customFormat="1" ht="15" hidden="1" customHeight="1">
      <c r="A11" s="960"/>
      <c r="D11" s="933" t="s">
        <v>109</v>
      </c>
      <c r="E11" s="933"/>
      <c r="F11" s="933" t="s">
        <v>110</v>
      </c>
      <c r="G11" s="933" t="s">
        <v>90</v>
      </c>
      <c r="H11" s="933"/>
      <c r="I11" s="933" t="s">
        <v>91</v>
      </c>
      <c r="J11" s="933" t="s">
        <v>111</v>
      </c>
      <c r="K11" s="933" t="s">
        <v>92</v>
      </c>
      <c r="L11" s="933"/>
      <c r="M11" s="933" t="s">
        <v>93</v>
      </c>
      <c r="N11" s="933" t="s">
        <v>112</v>
      </c>
      <c r="O11" s="933" t="s">
        <v>153</v>
      </c>
      <c r="P11" s="933" t="s">
        <v>154</v>
      </c>
      <c r="Q11" s="933" t="s">
        <v>155</v>
      </c>
      <c r="R11" s="933" t="s">
        <v>156</v>
      </c>
      <c r="S11" s="933" t="s">
        <v>157</v>
      </c>
      <c r="U11" s="528"/>
      <c r="V11" s="528"/>
      <c r="W11" s="528"/>
    </row>
    <row r="12" spans="1:83" s="1552" customFormat="1" ht="0.75" customHeight="1">
      <c r="A12" s="532"/>
      <c r="B12" s="285"/>
      <c r="D12" s="472"/>
      <c r="E12" s="267"/>
      <c r="F12" s="267"/>
      <c r="Q12" s="533"/>
      <c r="R12" s="534"/>
      <c r="T12" s="535"/>
      <c r="U12" s="536"/>
      <c r="V12" s="536"/>
      <c r="W12" s="537"/>
      <c r="X12" s="285"/>
      <c r="Y12" s="285"/>
      <c r="Z12" s="285"/>
      <c r="AA12" s="285"/>
    </row>
    <row r="13" spans="1:83" s="1558" customFormat="1" ht="0.75" customHeight="1">
      <c r="A13" s="538"/>
      <c r="B13" s="487"/>
      <c r="D13" s="472" t="s">
        <v>369</v>
      </c>
      <c r="E13" s="482"/>
      <c r="F13" s="482"/>
      <c r="G13" s="482"/>
      <c r="H13" s="482"/>
      <c r="I13" s="482"/>
      <c r="J13" s="482"/>
      <c r="K13" s="482"/>
      <c r="L13" s="482"/>
      <c r="M13" s="482"/>
      <c r="N13" s="482"/>
      <c r="O13" s="482"/>
      <c r="P13" s="482"/>
      <c r="Q13" s="482"/>
      <c r="R13" s="482"/>
      <c r="T13" s="256"/>
      <c r="U13" s="528"/>
      <c r="V13" s="528"/>
      <c r="W13" s="539"/>
      <c r="X13" s="487"/>
      <c r="Y13" s="487"/>
      <c r="Z13" s="487"/>
      <c r="AA13" s="487"/>
    </row>
    <row r="14" spans="1:83" s="1807" customFormat="1" ht="15" hidden="1" customHeight="1">
      <c r="A14" s="540" t="s">
        <v>118</v>
      </c>
      <c r="B14"/>
      <c r="C14"/>
      <c r="D14" s="2194" t="s">
        <v>109</v>
      </c>
      <c r="E14" s="2006" t="s">
        <v>105</v>
      </c>
      <c r="F14" s="2007"/>
      <c r="G14" s="2008"/>
      <c r="H14" s="2009" t="str">
        <f>IF(A14="","",INDEX(DIFFERENTIATION_UNMERGE_VD,MATCH(A14,DIFFERENTIATION_ID_DIFF,0)))</f>
        <v>Холодное водоснабжение. Питьевая вода; Транспортировка. Питьевая вода; Подключение (технологическое присоединение) к централизованной системе водоснабжения</v>
      </c>
      <c r="I14" s="2009"/>
      <c r="J14" s="2009"/>
      <c r="K14" s="2009"/>
      <c r="L14" s="2009"/>
      <c r="M14" s="2009"/>
      <c r="N14" s="2009"/>
      <c r="O14" s="2009"/>
      <c r="P14" s="2009"/>
      <c r="Q14" s="2009"/>
      <c r="R14" s="2009"/>
      <c r="S14" s="634"/>
      <c r="T14" s="631"/>
      <c r="U14" s="541"/>
      <c r="V14" s="541"/>
      <c r="W14" s="542"/>
      <c r="X14" s="542"/>
      <c r="Y14" s="542"/>
      <c r="Z14" s="542"/>
      <c r="AA14" s="543"/>
      <c r="AB14" s="544"/>
      <c r="AC14" s="2018"/>
      <c r="AD14" s="545"/>
      <c r="AE14" s="546" t="s">
        <v>18</v>
      </c>
      <c r="AF14" s="546"/>
      <c r="AG14" s="547" t="s">
        <v>415</v>
      </c>
      <c r="AH14" s="548">
        <v>3</v>
      </c>
      <c r="AI14" s="541"/>
      <c r="AJ14" s="541"/>
      <c r="AK14" s="541"/>
      <c r="AL14" s="541"/>
      <c r="AM14" s="541"/>
      <c r="AN14" s="541"/>
      <c r="AO14" s="541"/>
      <c r="AP14" s="541"/>
      <c r="AQ14" s="541"/>
      <c r="AR14" s="541"/>
      <c r="AS14" s="541"/>
      <c r="AT14" s="541"/>
      <c r="AU14" s="541"/>
      <c r="AV14" s="541"/>
      <c r="AW14" s="541"/>
      <c r="AX14" s="541"/>
      <c r="AY14" s="541"/>
      <c r="AZ14" s="541"/>
      <c r="BA14" s="541"/>
      <c r="BB14" s="541"/>
      <c r="BC14" s="541"/>
      <c r="BD14" s="541"/>
      <c r="BE14" s="541"/>
      <c r="BF14" s="541"/>
      <c r="BG14" s="541"/>
      <c r="BH14" s="541"/>
      <c r="BI14" s="541"/>
      <c r="BJ14" s="541"/>
      <c r="BK14" s="541"/>
      <c r="BL14" s="541"/>
      <c r="BM14" s="541"/>
      <c r="BN14" s="541"/>
      <c r="BO14" s="541"/>
      <c r="BP14" s="541"/>
      <c r="BQ14" s="541"/>
      <c r="BR14" s="541"/>
      <c r="BS14" s="541"/>
      <c r="BT14" s="541"/>
      <c r="BU14" s="541"/>
      <c r="BV14" s="542"/>
      <c r="BW14" s="542"/>
      <c r="BX14" s="542"/>
      <c r="BY14" s="542"/>
      <c r="BZ14" s="542"/>
      <c r="CA14" s="542"/>
      <c r="CB14" s="542"/>
      <c r="CC14" s="542"/>
      <c r="CD14" s="542"/>
      <c r="CE14" s="542"/>
    </row>
    <row r="15" spans="1:83" s="1807" customFormat="1" ht="15" hidden="1" customHeight="1">
      <c r="A15" s="540"/>
      <c r="B15"/>
      <c r="C15"/>
      <c r="D15" s="2195"/>
      <c r="E15" s="2006" t="s">
        <v>416</v>
      </c>
      <c r="F15" s="2007"/>
      <c r="G15" s="2008"/>
      <c r="H15" s="2009" t="str">
        <f>IF(A14="","",INDEX(DIFFERENTIATION_UNMERGE_AREA,MATCH(A14,DIFFERENTIATION_ID_DIFF,0)))</f>
        <v>без дифференциации</v>
      </c>
      <c r="I15" s="2009"/>
      <c r="J15" s="2009"/>
      <c r="K15" s="2009"/>
      <c r="L15" s="2009"/>
      <c r="M15" s="2009"/>
      <c r="N15" s="2009"/>
      <c r="O15" s="2009"/>
      <c r="P15" s="2009"/>
      <c r="Q15" s="2009"/>
      <c r="R15" s="2009"/>
      <c r="S15" s="634"/>
      <c r="T15" s="631"/>
      <c r="U15" s="541"/>
      <c r="V15" s="541"/>
      <c r="W15" s="542"/>
      <c r="X15" s="542"/>
      <c r="Y15" s="542"/>
      <c r="Z15" s="542"/>
      <c r="AA15" s="543"/>
      <c r="AB15" s="544"/>
      <c r="AC15" s="2018"/>
      <c r="AD15" s="545"/>
      <c r="AE15" s="546"/>
      <c r="AF15" s="546"/>
      <c r="AG15" s="547"/>
      <c r="AH15" s="548"/>
      <c r="AI15" s="541"/>
      <c r="AJ15" s="541"/>
      <c r="AK15" s="541"/>
      <c r="AL15" s="541"/>
      <c r="AM15" s="541"/>
      <c r="AN15" s="541"/>
      <c r="AO15" s="541"/>
      <c r="AP15" s="541"/>
      <c r="AQ15" s="541"/>
      <c r="AR15" s="541"/>
      <c r="AS15" s="541"/>
      <c r="AT15" s="541"/>
      <c r="AU15" s="541"/>
      <c r="AV15" s="541"/>
      <c r="AW15" s="541"/>
      <c r="AX15" s="541"/>
      <c r="AY15" s="541"/>
      <c r="AZ15" s="541"/>
      <c r="BA15" s="541"/>
      <c r="BB15" s="541"/>
      <c r="BC15" s="541"/>
      <c r="BD15" s="541"/>
      <c r="BE15" s="541"/>
      <c r="BF15" s="541"/>
      <c r="BG15" s="541"/>
      <c r="BH15" s="541"/>
      <c r="BI15" s="541"/>
      <c r="BJ15" s="541"/>
      <c r="BK15" s="541"/>
      <c r="BL15" s="541"/>
      <c r="BM15" s="541"/>
      <c r="BN15" s="541"/>
      <c r="BO15" s="541"/>
      <c r="BP15" s="541"/>
      <c r="BQ15" s="541"/>
      <c r="BR15" s="541"/>
      <c r="BS15" s="541"/>
      <c r="BT15" s="541"/>
      <c r="BU15" s="541"/>
      <c r="BV15" s="542"/>
      <c r="BW15" s="542"/>
      <c r="BX15" s="542"/>
      <c r="BY15" s="542"/>
      <c r="BZ15" s="542"/>
      <c r="CA15" s="542"/>
      <c r="CB15" s="542"/>
      <c r="CC15" s="542"/>
      <c r="CD15" s="542"/>
      <c r="CE15" s="542"/>
    </row>
    <row r="16" spans="1:83" s="1807" customFormat="1" ht="15" hidden="1" customHeight="1">
      <c r="A16" s="540"/>
      <c r="B16"/>
      <c r="C16"/>
      <c r="D16" s="2195"/>
      <c r="E16" s="2006" t="s">
        <v>417</v>
      </c>
      <c r="F16" s="2007"/>
      <c r="G16" s="2008"/>
      <c r="H16" s="2009" t="str">
        <f>IF(A14="","",INDEX(DIFFERENTIATION_UNMERGE_SYSTEM,MATCH(A14,DIFFERENTIATION_ID_DIFF,0)))</f>
        <v>Тереховский водозабор</v>
      </c>
      <c r="I16" s="2009"/>
      <c r="J16" s="2009"/>
      <c r="K16" s="2009"/>
      <c r="L16" s="2009"/>
      <c r="M16" s="2009"/>
      <c r="N16" s="2009"/>
      <c r="O16" s="2009"/>
      <c r="P16" s="2009"/>
      <c r="Q16" s="2009"/>
      <c r="R16" s="2009"/>
      <c r="S16" s="634"/>
      <c r="T16" s="631"/>
      <c r="U16" s="541"/>
      <c r="V16" s="541"/>
      <c r="W16" s="542"/>
      <c r="X16" s="542"/>
      <c r="Y16" s="542"/>
      <c r="Z16" s="542"/>
      <c r="AA16" s="543"/>
      <c r="AB16" s="544"/>
      <c r="AC16" s="2018"/>
      <c r="AD16" s="545"/>
      <c r="AE16" s="546"/>
      <c r="AF16" s="546"/>
      <c r="AG16" s="547"/>
      <c r="AH16" s="548"/>
      <c r="AI16" s="541"/>
      <c r="AJ16" s="541"/>
      <c r="AK16" s="541"/>
      <c r="AL16" s="541"/>
      <c r="AM16" s="541"/>
      <c r="AN16" s="541"/>
      <c r="AO16" s="541"/>
      <c r="AP16" s="541"/>
      <c r="AQ16" s="541"/>
      <c r="AR16" s="541"/>
      <c r="AS16" s="541"/>
      <c r="AT16" s="541"/>
      <c r="AU16" s="541"/>
      <c r="AV16" s="541"/>
      <c r="AW16" s="541"/>
      <c r="AX16" s="541"/>
      <c r="AY16" s="541"/>
      <c r="AZ16" s="541"/>
      <c r="BA16" s="541"/>
      <c r="BB16" s="541"/>
      <c r="BC16" s="541"/>
      <c r="BD16" s="541"/>
      <c r="BE16" s="541"/>
      <c r="BF16" s="541"/>
      <c r="BG16" s="541"/>
      <c r="BH16" s="541"/>
      <c r="BI16" s="541"/>
      <c r="BJ16" s="541"/>
      <c r="BK16" s="541"/>
      <c r="BL16" s="541"/>
      <c r="BM16" s="541"/>
      <c r="BN16" s="541"/>
      <c r="BO16" s="541"/>
      <c r="BP16" s="541"/>
      <c r="BQ16" s="541"/>
      <c r="BR16" s="541"/>
      <c r="BS16" s="541"/>
      <c r="BT16" s="541"/>
      <c r="BU16" s="541"/>
      <c r="BV16" s="542"/>
      <c r="BW16" s="542"/>
      <c r="BX16" s="542"/>
      <c r="BY16" s="542"/>
      <c r="BZ16" s="542"/>
      <c r="CA16" s="542"/>
      <c r="CB16" s="542"/>
      <c r="CC16" s="542"/>
      <c r="CD16" s="542"/>
      <c r="CE16" s="542"/>
    </row>
    <row r="17" spans="1:83" s="1807" customFormat="1" ht="22.5" hidden="1" customHeight="1">
      <c r="A17" s="549"/>
      <c r="B17" s="347"/>
      <c r="C17" s="342"/>
      <c r="D17" s="2195"/>
      <c r="E17" s="2024" t="s">
        <v>418</v>
      </c>
      <c r="F17" s="2024"/>
      <c r="G17" s="2024"/>
      <c r="H17" s="2024"/>
      <c r="I17" s="2024"/>
      <c r="J17" s="2024"/>
      <c r="K17" s="2024"/>
      <c r="L17" s="2024"/>
      <c r="M17" s="2024"/>
      <c r="N17" s="2024"/>
      <c r="O17" s="2024"/>
      <c r="P17" s="2024"/>
      <c r="Q17" s="480">
        <f>SUMIF(T18:T19,"i",Q18:Q19)</f>
        <v>0</v>
      </c>
      <c r="R17" s="925"/>
      <c r="S17" s="812" t="s">
        <v>419</v>
      </c>
      <c r="T17" s="632" t="s">
        <v>420</v>
      </c>
      <c r="U17" s="1995">
        <v>1</v>
      </c>
      <c r="V17" s="1995" t="str">
        <f>INDEX(B_FHD_FLAG_INDEX_1,1,MATCH(A14,B_FHD_FLAG_DIFFERENTIATION,0))</f>
        <v>отсутствует</v>
      </c>
      <c r="W17" s="347"/>
      <c r="X17" s="347"/>
      <c r="Y17" s="347"/>
      <c r="Z17" s="347"/>
      <c r="AA17" s="437"/>
      <c r="AB17" s="347"/>
      <c r="AC17" s="2018"/>
      <c r="AD17" s="545"/>
      <c r="AE17" s="347"/>
      <c r="AF17" s="347"/>
      <c r="AG17" s="437"/>
      <c r="AH17" s="437"/>
      <c r="AI17" s="437"/>
      <c r="AJ17" s="437"/>
      <c r="AK17" s="437"/>
      <c r="AL17" s="437"/>
      <c r="AM17" s="437"/>
      <c r="AN17" s="437"/>
      <c r="AO17" s="437"/>
      <c r="AP17" s="437"/>
      <c r="AQ17" s="437"/>
      <c r="AR17" s="437"/>
      <c r="AS17" s="437"/>
      <c r="AT17" s="437"/>
      <c r="AU17" s="437"/>
      <c r="AV17" s="437"/>
      <c r="AW17" s="437"/>
      <c r="AX17" s="437"/>
      <c r="AY17" s="437"/>
      <c r="AZ17" s="437"/>
      <c r="BA17" s="437"/>
      <c r="BB17" s="437"/>
      <c r="BC17" s="437"/>
      <c r="BD17" s="437"/>
      <c r="BE17" s="437"/>
      <c r="BF17" s="437"/>
      <c r="BG17" s="437"/>
      <c r="BH17" s="437"/>
      <c r="BI17" s="437"/>
      <c r="BJ17" s="437"/>
      <c r="BK17" s="437"/>
      <c r="BL17" s="437"/>
      <c r="BM17" s="437"/>
      <c r="BN17" s="437"/>
      <c r="BO17" s="437"/>
      <c r="BP17" s="437"/>
      <c r="BQ17" s="437"/>
      <c r="BR17" s="437"/>
      <c r="BS17" s="437"/>
      <c r="BT17" s="437"/>
      <c r="BU17" s="437"/>
      <c r="BV17" s="347"/>
      <c r="BW17" s="347"/>
      <c r="BX17" s="347"/>
      <c r="BY17" s="347"/>
      <c r="BZ17" s="347"/>
      <c r="CA17" s="347"/>
      <c r="CB17" s="347"/>
      <c r="CC17" s="347"/>
      <c r="CD17" s="347"/>
      <c r="CE17" s="347"/>
    </row>
    <row r="18" spans="1:83" s="1807" customFormat="1" ht="11.25" hidden="1" customHeight="1">
      <c r="A18" s="550"/>
      <c r="B18" s="437"/>
      <c r="C18" s="437"/>
      <c r="D18" s="2195"/>
      <c r="E18" s="551"/>
      <c r="F18" s="551">
        <v>0</v>
      </c>
      <c r="G18" s="551"/>
      <c r="H18" s="551"/>
      <c r="I18" s="551"/>
      <c r="J18" s="551"/>
      <c r="K18" s="551"/>
      <c r="L18" s="551"/>
      <c r="M18" s="551"/>
      <c r="N18" s="551"/>
      <c r="O18" s="551"/>
      <c r="P18" s="551"/>
      <c r="Q18" s="551"/>
      <c r="R18" s="551"/>
      <c r="S18" s="552"/>
      <c r="T18" s="633"/>
      <c r="U18" s="1995"/>
      <c r="V18" s="1995"/>
      <c r="W18" s="437"/>
      <c r="X18" s="437"/>
      <c r="Y18" s="437"/>
      <c r="Z18" s="437"/>
      <c r="AA18" s="437"/>
      <c r="AB18" s="347"/>
      <c r="AC18" s="2018"/>
      <c r="AD18" s="545"/>
      <c r="AE18" s="347"/>
      <c r="AF18" s="347"/>
      <c r="AG18" s="437"/>
      <c r="AH18" s="437"/>
      <c r="AI18" s="437"/>
      <c r="AJ18" s="437"/>
      <c r="AK18" s="437"/>
      <c r="AL18" s="437"/>
      <c r="AM18" s="437"/>
      <c r="AN18" s="437"/>
      <c r="AO18" s="437"/>
      <c r="AP18" s="437"/>
      <c r="AQ18" s="437"/>
      <c r="AR18" s="437"/>
      <c r="AS18" s="437"/>
      <c r="AT18" s="437"/>
      <c r="AU18" s="437"/>
      <c r="AV18" s="437"/>
      <c r="AW18" s="437"/>
      <c r="AX18" s="437"/>
      <c r="AY18" s="437"/>
      <c r="AZ18" s="437"/>
      <c r="BA18" s="437"/>
      <c r="BB18" s="437"/>
      <c r="BC18" s="437"/>
      <c r="BD18" s="437"/>
      <c r="BE18" s="437"/>
      <c r="BF18" s="437"/>
      <c r="BG18" s="437"/>
      <c r="BH18" s="437"/>
      <c r="BI18" s="437"/>
      <c r="BJ18" s="437"/>
      <c r="BK18" s="437"/>
      <c r="BL18" s="437"/>
      <c r="BM18" s="437"/>
      <c r="BN18" s="437"/>
      <c r="BO18" s="437"/>
      <c r="BP18" s="437"/>
      <c r="BQ18" s="437"/>
      <c r="BR18" s="437"/>
      <c r="BS18" s="437"/>
      <c r="BT18" s="437"/>
      <c r="BU18" s="437"/>
      <c r="BV18" s="437"/>
      <c r="BW18" s="437"/>
      <c r="BX18" s="437"/>
      <c r="BY18" s="437"/>
      <c r="BZ18" s="437"/>
      <c r="CA18" s="437"/>
      <c r="CB18" s="437"/>
      <c r="CC18" s="437"/>
      <c r="CD18" s="437"/>
      <c r="CE18" s="437"/>
    </row>
    <row r="19" spans="1:83" s="1807" customFormat="1" ht="11.25" hidden="1" customHeight="1">
      <c r="A19" s="549"/>
      <c r="B19" s="347"/>
      <c r="C19" s="342"/>
      <c r="D19" s="2195"/>
      <c r="E19" s="565" t="s">
        <v>18</v>
      </c>
      <c r="F19" s="566" t="s">
        <v>18</v>
      </c>
      <c r="G19" s="566" t="s">
        <v>18</v>
      </c>
      <c r="H19" s="567" t="s">
        <v>18</v>
      </c>
      <c r="I19" s="567"/>
      <c r="J19" s="567"/>
      <c r="K19" s="567"/>
      <c r="L19" s="567"/>
      <c r="M19" s="567"/>
      <c r="N19" s="567"/>
      <c r="O19" s="567"/>
      <c r="P19" s="567"/>
      <c r="Q19" s="567"/>
      <c r="R19" s="568"/>
      <c r="S19" s="928"/>
      <c r="T19" s="633"/>
      <c r="U19" s="1995"/>
      <c r="V19" s="1995"/>
      <c r="W19" s="347"/>
      <c r="X19" s="347"/>
      <c r="Y19" s="347"/>
      <c r="Z19" s="347"/>
      <c r="AA19" s="437"/>
      <c r="AB19" s="347"/>
      <c r="AC19" s="2018"/>
      <c r="AD19" s="545"/>
      <c r="AE19" s="347"/>
      <c r="AF19" s="347"/>
      <c r="AG19" s="437"/>
      <c r="AH19" s="437"/>
      <c r="AI19" s="437"/>
      <c r="AJ19" s="437"/>
      <c r="AK19" s="437"/>
      <c r="AL19" s="437"/>
      <c r="AM19" s="437"/>
      <c r="AN19" s="437"/>
      <c r="AO19" s="437"/>
      <c r="AP19" s="437"/>
      <c r="AQ19" s="437"/>
      <c r="AR19" s="437"/>
      <c r="AS19" s="437"/>
      <c r="AT19" s="437"/>
      <c r="AU19" s="437"/>
      <c r="AV19" s="437"/>
      <c r="AW19" s="437"/>
      <c r="AX19" s="437"/>
      <c r="AY19" s="437"/>
      <c r="AZ19" s="437"/>
      <c r="BA19" s="437"/>
      <c r="BB19" s="437"/>
      <c r="BC19" s="437"/>
      <c r="BD19" s="437"/>
      <c r="BE19" s="437"/>
      <c r="BF19" s="437"/>
      <c r="BG19" s="437"/>
      <c r="BH19" s="437"/>
      <c r="BI19" s="437"/>
      <c r="BJ19" s="437"/>
      <c r="BK19" s="437"/>
      <c r="BL19" s="437"/>
      <c r="BM19" s="437"/>
      <c r="BN19" s="437"/>
      <c r="BO19" s="437"/>
      <c r="BP19" s="437"/>
      <c r="BQ19" s="437"/>
      <c r="BR19" s="437"/>
      <c r="BS19" s="437"/>
      <c r="BT19" s="437"/>
      <c r="BU19" s="437"/>
      <c r="BV19" s="347"/>
      <c r="BW19" s="347"/>
      <c r="BX19" s="347"/>
      <c r="BY19" s="347"/>
      <c r="BZ19" s="347"/>
      <c r="CA19" s="347"/>
      <c r="CB19" s="347"/>
      <c r="CC19" s="347"/>
      <c r="CD19" s="347"/>
      <c r="CE19" s="347"/>
    </row>
    <row r="20" spans="1:83" s="1807" customFormat="1" ht="22.5" hidden="1" customHeight="1">
      <c r="A20" s="549"/>
      <c r="B20" s="347"/>
      <c r="C20" s="342"/>
      <c r="D20" s="2195"/>
      <c r="E20" s="2024" t="s">
        <v>423</v>
      </c>
      <c r="F20" s="2024"/>
      <c r="G20" s="2024"/>
      <c r="H20" s="2024"/>
      <c r="I20" s="2024"/>
      <c r="J20" s="2024"/>
      <c r="K20" s="2024"/>
      <c r="L20" s="2024"/>
      <c r="M20" s="2024"/>
      <c r="N20" s="2024"/>
      <c r="O20" s="2024"/>
      <c r="P20" s="2024"/>
      <c r="Q20" s="480">
        <f>SUMIF(T21:T22,"i",Q21:Q22)</f>
        <v>0</v>
      </c>
      <c r="R20" s="925"/>
      <c r="S20" s="624" t="s">
        <v>424</v>
      </c>
      <c r="T20" s="632" t="s">
        <v>420</v>
      </c>
      <c r="U20" s="1995">
        <v>2</v>
      </c>
      <c r="V20" s="1995" t="str">
        <f>INDEX(B_FHD_FLAG_INDEX_2,1,MATCH(A14,B_FHD_FLAG_DIFFERENTIATION,0))</f>
        <v>отсутствует</v>
      </c>
      <c r="W20" s="347"/>
      <c r="X20" s="347"/>
      <c r="Y20" s="347"/>
      <c r="Z20" s="347"/>
      <c r="AA20" s="437"/>
      <c r="AB20" s="347"/>
      <c r="AC20" s="621"/>
      <c r="AD20" s="545"/>
      <c r="AE20" s="347"/>
      <c r="AF20" s="347"/>
      <c r="AG20" s="437"/>
      <c r="AH20" s="437"/>
      <c r="AI20" s="437"/>
      <c r="AJ20" s="437"/>
      <c r="AK20" s="437"/>
      <c r="AL20" s="437"/>
      <c r="AM20" s="437"/>
      <c r="AN20" s="437"/>
      <c r="AO20" s="437"/>
      <c r="AP20" s="437"/>
      <c r="AQ20" s="437"/>
      <c r="AR20" s="437"/>
      <c r="AS20" s="437"/>
      <c r="AT20" s="437"/>
      <c r="AU20" s="437"/>
      <c r="AV20" s="437"/>
      <c r="AW20" s="437"/>
      <c r="AX20" s="437"/>
      <c r="AY20" s="437"/>
      <c r="AZ20" s="437"/>
      <c r="BA20" s="437"/>
      <c r="BB20" s="437"/>
      <c r="BC20" s="437"/>
      <c r="BD20" s="437"/>
      <c r="BE20" s="437"/>
      <c r="BF20" s="437"/>
      <c r="BG20" s="437"/>
      <c r="BH20" s="437"/>
      <c r="BI20" s="437"/>
      <c r="BJ20" s="437"/>
      <c r="BK20" s="437"/>
      <c r="BL20" s="437"/>
      <c r="BM20" s="437"/>
      <c r="BN20" s="437"/>
      <c r="BO20" s="437"/>
      <c r="BP20" s="437"/>
      <c r="BQ20" s="437"/>
      <c r="BR20" s="437"/>
      <c r="BS20" s="437"/>
      <c r="BT20" s="437"/>
      <c r="BU20" s="437"/>
      <c r="BV20" s="347"/>
      <c r="BW20" s="347"/>
      <c r="BX20" s="347"/>
      <c r="BY20" s="347"/>
      <c r="BZ20" s="347"/>
      <c r="CA20" s="347"/>
      <c r="CB20" s="347"/>
      <c r="CC20" s="347"/>
      <c r="CD20" s="347"/>
      <c r="CE20" s="347"/>
    </row>
    <row r="21" spans="1:83" s="1807" customFormat="1" ht="11.25" hidden="1" customHeight="1">
      <c r="A21" s="623"/>
      <c r="B21" s="437"/>
      <c r="C21" s="437"/>
      <c r="D21" s="2195"/>
      <c r="E21" s="551"/>
      <c r="F21" s="551">
        <v>0</v>
      </c>
      <c r="G21" s="551"/>
      <c r="H21" s="551"/>
      <c r="I21" s="551"/>
      <c r="J21" s="551"/>
      <c r="K21" s="551"/>
      <c r="L21" s="551"/>
      <c r="M21" s="551"/>
      <c r="N21" s="551"/>
      <c r="O21" s="551"/>
      <c r="P21" s="551"/>
      <c r="Q21" s="551"/>
      <c r="R21" s="551"/>
      <c r="S21" s="552"/>
      <c r="T21" s="633"/>
      <c r="U21" s="1995"/>
      <c r="V21" s="1995"/>
      <c r="W21" s="437"/>
      <c r="X21" s="437"/>
      <c r="Y21" s="437"/>
      <c r="Z21" s="437"/>
      <c r="AA21" s="437"/>
      <c r="AB21" s="347"/>
      <c r="AC21" s="621"/>
      <c r="AD21" s="545"/>
      <c r="AE21" s="347"/>
      <c r="AF21" s="347"/>
      <c r="AG21" s="437"/>
      <c r="AH21" s="437"/>
      <c r="AI21" s="437"/>
      <c r="AJ21" s="437"/>
      <c r="AK21" s="437"/>
      <c r="AL21" s="437"/>
      <c r="AM21" s="437"/>
      <c r="AN21" s="437"/>
      <c r="AO21" s="437"/>
      <c r="AP21" s="437"/>
      <c r="AQ21" s="437"/>
      <c r="AR21" s="437"/>
      <c r="AS21" s="437"/>
      <c r="AT21" s="437"/>
      <c r="AU21" s="437"/>
      <c r="AV21" s="437"/>
      <c r="AW21" s="437"/>
      <c r="AX21" s="437"/>
      <c r="AY21" s="437"/>
      <c r="AZ21" s="437"/>
      <c r="BA21" s="437"/>
      <c r="BB21" s="437"/>
      <c r="BC21" s="437"/>
      <c r="BD21" s="437"/>
      <c r="BE21" s="437"/>
      <c r="BF21" s="437"/>
      <c r="BG21" s="437"/>
      <c r="BH21" s="437"/>
      <c r="BI21" s="437"/>
      <c r="BJ21" s="437"/>
      <c r="BK21" s="437"/>
      <c r="BL21" s="437"/>
      <c r="BM21" s="437"/>
      <c r="BN21" s="437"/>
      <c r="BO21" s="437"/>
      <c r="BP21" s="437"/>
      <c r="BQ21" s="437"/>
      <c r="BR21" s="437"/>
      <c r="BS21" s="437"/>
      <c r="BT21" s="437"/>
      <c r="BU21" s="437"/>
      <c r="BV21" s="437"/>
      <c r="BW21" s="437"/>
      <c r="BX21" s="437"/>
      <c r="BY21" s="437"/>
      <c r="BZ21" s="437"/>
      <c r="CA21" s="437"/>
      <c r="CB21" s="437"/>
      <c r="CC21" s="437"/>
      <c r="CD21" s="437"/>
      <c r="CE21" s="437"/>
    </row>
    <row r="22" spans="1:83" s="1807" customFormat="1" ht="11.25" hidden="1" customHeight="1">
      <c r="A22" s="549"/>
      <c r="B22" s="347"/>
      <c r="C22" s="342"/>
      <c r="D22" s="2196"/>
      <c r="E22" s="565" t="s">
        <v>18</v>
      </c>
      <c r="F22" s="566" t="s">
        <v>18</v>
      </c>
      <c r="G22" s="566" t="s">
        <v>18</v>
      </c>
      <c r="H22" s="567" t="s">
        <v>18</v>
      </c>
      <c r="I22" s="567"/>
      <c r="J22" s="567"/>
      <c r="K22" s="567"/>
      <c r="L22" s="567"/>
      <c r="M22" s="567"/>
      <c r="N22" s="567"/>
      <c r="O22" s="567"/>
      <c r="P22" s="567"/>
      <c r="Q22" s="567"/>
      <c r="R22" s="568"/>
      <c r="S22" s="928"/>
      <c r="T22" s="633"/>
      <c r="U22" s="1995"/>
      <c r="V22" s="1995"/>
      <c r="W22" s="347"/>
      <c r="X22" s="347"/>
      <c r="Y22" s="347"/>
      <c r="Z22" s="347"/>
      <c r="AA22" s="437"/>
      <c r="AB22" s="347"/>
      <c r="AC22" s="621"/>
      <c r="AD22" s="545"/>
      <c r="AE22" s="347"/>
      <c r="AF22" s="347"/>
      <c r="AG22" s="437"/>
      <c r="AH22" s="437"/>
      <c r="AI22" s="437"/>
      <c r="AJ22" s="437"/>
      <c r="AK22" s="437"/>
      <c r="AL22" s="437"/>
      <c r="AM22" s="437"/>
      <c r="AN22" s="437"/>
      <c r="AO22" s="437"/>
      <c r="AP22" s="437"/>
      <c r="AQ22" s="437"/>
      <c r="AR22" s="437"/>
      <c r="AS22" s="437"/>
      <c r="AT22" s="437"/>
      <c r="AU22" s="437"/>
      <c r="AV22" s="437"/>
      <c r="AW22" s="437"/>
      <c r="AX22" s="437"/>
      <c r="AY22" s="437"/>
      <c r="AZ22" s="437"/>
      <c r="BA22" s="437"/>
      <c r="BB22" s="437"/>
      <c r="BC22" s="437"/>
      <c r="BD22" s="437"/>
      <c r="BE22" s="437"/>
      <c r="BF22" s="437"/>
      <c r="BG22" s="437"/>
      <c r="BH22" s="437"/>
      <c r="BI22" s="437"/>
      <c r="BJ22" s="437"/>
      <c r="BK22" s="437"/>
      <c r="BL22" s="437"/>
      <c r="BM22" s="437"/>
      <c r="BN22" s="437"/>
      <c r="BO22" s="437"/>
      <c r="BP22" s="437"/>
      <c r="BQ22" s="437"/>
      <c r="BR22" s="437"/>
      <c r="BS22" s="437"/>
      <c r="BT22" s="437"/>
      <c r="BU22" s="437"/>
      <c r="BV22" s="347"/>
      <c r="BW22" s="347"/>
      <c r="BX22" s="347"/>
      <c r="BY22" s="347"/>
      <c r="BZ22" s="347"/>
      <c r="CA22" s="347"/>
      <c r="CB22" s="347"/>
      <c r="CC22" s="347"/>
      <c r="CD22" s="347"/>
      <c r="CE22" s="347"/>
    </row>
    <row r="23" spans="1:83" ht="15" hidden="1" customHeight="1">
      <c r="A23" s="540" t="s">
        <v>123</v>
      </c>
      <c r="B23"/>
      <c r="C23" t="s">
        <v>18</v>
      </c>
      <c r="D23" s="2003" t="s">
        <v>155</v>
      </c>
      <c r="E23" s="2006" t="s">
        <v>105</v>
      </c>
      <c r="F23" s="2007"/>
      <c r="G23" s="2008"/>
      <c r="H23" s="2009" t="str">
        <f>IF(A23="","",INDEX(DIFFERENTIATION_UNMERGE_VD,MATCH(A23,DIFFERENTIATION_ID_DIFF,0)))</f>
        <v>Холодное водоснабжение. Питьевая вода; Транспортировка. Питьевая вода; Подключение (технологическое присоединение) к централизованной системе водоснабжения</v>
      </c>
      <c r="I23" s="2009"/>
      <c r="J23" s="2009"/>
      <c r="K23" s="2009"/>
      <c r="L23" s="2009"/>
      <c r="M23" s="2009"/>
      <c r="N23" s="2009"/>
      <c r="O23" s="2009"/>
      <c r="P23" s="2009"/>
      <c r="Q23" s="2009"/>
      <c r="R23" s="2009"/>
      <c r="S23" s="634"/>
      <c r="T23" s="631"/>
      <c r="U23" s="541"/>
      <c r="V23" s="541"/>
      <c r="W23" s="542"/>
      <c r="X23" s="542"/>
      <c r="Y23" s="542"/>
      <c r="Z23" s="542"/>
      <c r="AA23" s="543"/>
      <c r="AB23" s="544"/>
      <c r="AC23" s="2018"/>
      <c r="AD23" s="545"/>
      <c r="AE23" s="546" t="s">
        <v>18</v>
      </c>
      <c r="AF23" s="546"/>
      <c r="AG23" s="547" t="s">
        <v>415</v>
      </c>
      <c r="AH23" s="548">
        <v>3</v>
      </c>
      <c r="AI23" s="541"/>
      <c r="AJ23" s="541"/>
      <c r="AK23" s="541"/>
      <c r="AL23" s="541"/>
      <c r="AM23" s="541"/>
      <c r="AN23" s="541"/>
      <c r="AO23" s="541"/>
      <c r="AP23" s="541"/>
      <c r="AQ23" s="541"/>
      <c r="AR23" s="541"/>
      <c r="AS23" s="541"/>
      <c r="AT23" s="541"/>
      <c r="AU23" s="541"/>
      <c r="AV23" s="541"/>
      <c r="AW23" s="541"/>
      <c r="AX23" s="541"/>
      <c r="AY23" s="541"/>
      <c r="AZ23" s="541"/>
      <c r="BA23" s="541"/>
      <c r="BB23" s="541"/>
      <c r="BC23" s="541"/>
      <c r="BD23" s="541"/>
      <c r="BE23" s="541"/>
      <c r="BF23" s="541"/>
      <c r="BG23" s="541"/>
      <c r="BH23" s="541"/>
      <c r="BI23" s="541"/>
      <c r="BJ23" s="541"/>
      <c r="BK23" s="541"/>
      <c r="BL23" s="541"/>
      <c r="BM23" s="541"/>
      <c r="BN23" s="541"/>
      <c r="BO23" s="541"/>
      <c r="BP23" s="541"/>
      <c r="BQ23" s="541"/>
      <c r="BR23" s="541"/>
      <c r="BS23" s="541"/>
      <c r="BT23" s="541"/>
      <c r="BU23" s="541"/>
      <c r="BV23" s="542"/>
      <c r="BW23" s="542"/>
      <c r="BX23" s="542"/>
      <c r="BY23" s="542"/>
      <c r="BZ23" s="542"/>
      <c r="CA23" s="542"/>
      <c r="CB23" s="542"/>
      <c r="CC23" s="542"/>
      <c r="CD23" s="542"/>
      <c r="CE23" s="542"/>
    </row>
    <row r="24" spans="1:83" ht="15" hidden="1" customHeight="1">
      <c r="A24" s="540"/>
      <c r="B24"/>
      <c r="C24"/>
      <c r="D24" s="2004"/>
      <c r="E24" s="2006" t="s">
        <v>416</v>
      </c>
      <c r="F24" s="2007"/>
      <c r="G24" s="2008"/>
      <c r="H24" s="2009" t="str">
        <f>IF(A23="","",INDEX(DIFFERENTIATION_UNMERGE_AREA,MATCH(A23,DIFFERENTIATION_ID_DIFF,0)))</f>
        <v>без дифференциации</v>
      </c>
      <c r="I24" s="2009"/>
      <c r="J24" s="2009"/>
      <c r="K24" s="2009"/>
      <c r="L24" s="2009"/>
      <c r="M24" s="2009"/>
      <c r="N24" s="2009"/>
      <c r="O24" s="2009"/>
      <c r="P24" s="2009"/>
      <c r="Q24" s="2009"/>
      <c r="R24" s="2009"/>
      <c r="S24" s="634"/>
      <c r="T24" s="631"/>
      <c r="U24" s="541"/>
      <c r="V24" s="541"/>
      <c r="W24" s="542"/>
      <c r="X24" s="542"/>
      <c r="Y24" s="542"/>
      <c r="Z24" s="542"/>
      <c r="AA24" s="543"/>
      <c r="AB24" s="544"/>
      <c r="AC24" s="2018"/>
      <c r="AD24" s="545"/>
      <c r="AE24" s="546"/>
      <c r="AF24" s="546"/>
      <c r="AG24" s="547"/>
      <c r="AH24" s="548"/>
      <c r="AI24" s="541"/>
      <c r="AJ24" s="541"/>
      <c r="AK24" s="541"/>
      <c r="AL24" s="541"/>
      <c r="AM24" s="541"/>
      <c r="AN24" s="541"/>
      <c r="AO24" s="541"/>
      <c r="AP24" s="541"/>
      <c r="AQ24" s="541"/>
      <c r="AR24" s="541"/>
      <c r="AS24" s="541"/>
      <c r="AT24" s="541"/>
      <c r="AU24" s="541"/>
      <c r="AV24" s="541"/>
      <c r="AW24" s="541"/>
      <c r="AX24" s="541"/>
      <c r="AY24" s="541"/>
      <c r="AZ24" s="541"/>
      <c r="BA24" s="541"/>
      <c r="BB24" s="541"/>
      <c r="BC24" s="541"/>
      <c r="BD24" s="541"/>
      <c r="BE24" s="541"/>
      <c r="BF24" s="541"/>
      <c r="BG24" s="541"/>
      <c r="BH24" s="541"/>
      <c r="BI24" s="541"/>
      <c r="BJ24" s="541"/>
      <c r="BK24" s="541"/>
      <c r="BL24" s="541"/>
      <c r="BM24" s="541"/>
      <c r="BN24" s="541"/>
      <c r="BO24" s="541"/>
      <c r="BP24" s="541"/>
      <c r="BQ24" s="541"/>
      <c r="BR24" s="541"/>
      <c r="BS24" s="541"/>
      <c r="BT24" s="541"/>
      <c r="BU24" s="541"/>
      <c r="BV24" s="542"/>
      <c r="BW24" s="542"/>
      <c r="BX24" s="542"/>
      <c r="BY24" s="542"/>
      <c r="BZ24" s="542"/>
      <c r="CA24" s="542"/>
      <c r="CB24" s="542"/>
      <c r="CC24" s="542"/>
      <c r="CD24" s="542"/>
      <c r="CE24" s="542"/>
    </row>
    <row r="25" spans="1:83" ht="15" hidden="1" customHeight="1">
      <c r="A25" s="540"/>
      <c r="B25"/>
      <c r="C25"/>
      <c r="D25" s="2004"/>
      <c r="E25" s="2006" t="s">
        <v>417</v>
      </c>
      <c r="F25" s="2007"/>
      <c r="G25" s="2008"/>
      <c r="H25" s="2009" t="str">
        <f>IF(A23="","",INDEX(DIFFERENTIATION_UNMERGE_SYSTEM,MATCH(A23,DIFFERENTIATION_ID_DIFF,0)))</f>
        <v>Площадка цем/завода</v>
      </c>
      <c r="I25" s="2009"/>
      <c r="J25" s="2009"/>
      <c r="K25" s="2009"/>
      <c r="L25" s="2009"/>
      <c r="M25" s="2009"/>
      <c r="N25" s="2009"/>
      <c r="O25" s="2009"/>
      <c r="P25" s="2009"/>
      <c r="Q25" s="2009"/>
      <c r="R25" s="2009"/>
      <c r="S25" s="634"/>
      <c r="T25" s="631"/>
      <c r="U25" s="541"/>
      <c r="V25" s="541"/>
      <c r="W25" s="542"/>
      <c r="X25" s="542"/>
      <c r="Y25" s="542"/>
      <c r="Z25" s="542"/>
      <c r="AA25" s="543"/>
      <c r="AB25" s="544"/>
      <c r="AC25" s="2018"/>
      <c r="AD25" s="545"/>
      <c r="AE25" s="546"/>
      <c r="AF25" s="546"/>
      <c r="AG25" s="547"/>
      <c r="AH25" s="548"/>
      <c r="AI25" s="541"/>
      <c r="AJ25" s="541"/>
      <c r="AK25" s="541"/>
      <c r="AL25" s="541"/>
      <c r="AM25" s="541"/>
      <c r="AN25" s="541"/>
      <c r="AO25" s="541"/>
      <c r="AP25" s="541"/>
      <c r="AQ25" s="541"/>
      <c r="AR25" s="541"/>
      <c r="AS25" s="541"/>
      <c r="AT25" s="541"/>
      <c r="AU25" s="541"/>
      <c r="AV25" s="541"/>
      <c r="AW25" s="541"/>
      <c r="AX25" s="541"/>
      <c r="AY25" s="541"/>
      <c r="AZ25" s="541"/>
      <c r="BA25" s="541"/>
      <c r="BB25" s="541"/>
      <c r="BC25" s="541"/>
      <c r="BD25" s="541"/>
      <c r="BE25" s="541"/>
      <c r="BF25" s="541"/>
      <c r="BG25" s="541"/>
      <c r="BH25" s="541"/>
      <c r="BI25" s="541"/>
      <c r="BJ25" s="541"/>
      <c r="BK25" s="541"/>
      <c r="BL25" s="541"/>
      <c r="BM25" s="541"/>
      <c r="BN25" s="541"/>
      <c r="BO25" s="541"/>
      <c r="BP25" s="541"/>
      <c r="BQ25" s="541"/>
      <c r="BR25" s="541"/>
      <c r="BS25" s="541"/>
      <c r="BT25" s="541"/>
      <c r="BU25" s="541"/>
      <c r="BV25" s="542"/>
      <c r="BW25" s="542"/>
      <c r="BX25" s="542"/>
      <c r="BY25" s="542"/>
      <c r="BZ25" s="542"/>
      <c r="CA25" s="542"/>
      <c r="CB25" s="542"/>
      <c r="CC25" s="542"/>
      <c r="CD25" s="542"/>
      <c r="CE25" s="542"/>
    </row>
    <row r="26" spans="1:83" ht="24.75" hidden="1" customHeight="1">
      <c r="A26" s="1727"/>
      <c r="B26" s="1062"/>
      <c r="C26" s="342"/>
      <c r="D26" s="2004"/>
      <c r="E26" s="2024" t="s">
        <v>418</v>
      </c>
      <c r="F26" s="2024"/>
      <c r="G26" s="2024"/>
      <c r="H26" s="2024"/>
      <c r="I26" s="2024"/>
      <c r="J26" s="2024"/>
      <c r="K26" s="2024"/>
      <c r="L26" s="2024"/>
      <c r="M26" s="2024"/>
      <c r="N26" s="2024"/>
      <c r="O26" s="2024"/>
      <c r="P26" s="2024"/>
      <c r="Q26" s="480">
        <f>SUMIF(T27:T28,"i",Q27:Q28)</f>
        <v>0</v>
      </c>
      <c r="R26" s="925"/>
      <c r="S26" s="1719" t="s">
        <v>419</v>
      </c>
      <c r="T26" s="632" t="s">
        <v>420</v>
      </c>
      <c r="U26" s="1995">
        <v>1</v>
      </c>
      <c r="V26" s="1995" t="s">
        <v>421</v>
      </c>
      <c r="W26" s="1062"/>
      <c r="X26" s="1062"/>
      <c r="Y26" s="1062"/>
      <c r="Z26" s="1062"/>
      <c r="AA26" s="1553"/>
      <c r="AB26" s="1062"/>
      <c r="AC26" s="2018"/>
      <c r="AD26" s="545"/>
      <c r="AE26" s="1062"/>
      <c r="AF26" s="1062"/>
      <c r="AG26" s="1553"/>
      <c r="AH26" s="1553"/>
      <c r="AI26" s="1553"/>
      <c r="AJ26" s="1553"/>
      <c r="AK26" s="1553"/>
      <c r="AL26" s="1553"/>
      <c r="AM26" s="1553"/>
      <c r="AN26" s="1553"/>
      <c r="AO26" s="1553"/>
      <c r="AP26" s="1553"/>
      <c r="AQ26" s="1553"/>
      <c r="AR26" s="1553"/>
      <c r="AS26" s="1553"/>
      <c r="AT26" s="1553"/>
      <c r="AU26" s="1553"/>
      <c r="AV26" s="1553"/>
      <c r="AW26" s="1553"/>
      <c r="AX26" s="1553"/>
      <c r="AY26" s="1553"/>
      <c r="AZ26" s="1553"/>
      <c r="BA26" s="1553"/>
      <c r="BB26" s="1553"/>
      <c r="BC26" s="1553"/>
      <c r="BD26" s="1553"/>
      <c r="BE26" s="1553"/>
      <c r="BF26" s="1553"/>
      <c r="BG26" s="1553"/>
      <c r="BH26" s="1553"/>
      <c r="BI26" s="1553"/>
      <c r="BJ26" s="1553"/>
      <c r="BK26" s="1553"/>
      <c r="BL26" s="1553"/>
      <c r="BM26" s="1553"/>
      <c r="BN26" s="1553"/>
      <c r="BO26" s="1553"/>
      <c r="BP26" s="1553"/>
      <c r="BQ26" s="1553"/>
      <c r="BR26" s="1553"/>
      <c r="BS26" s="1553"/>
      <c r="BT26" s="1553"/>
      <c r="BU26" s="1553"/>
      <c r="BV26" s="1062"/>
      <c r="BW26" s="1062"/>
      <c r="BX26" s="1062"/>
      <c r="BY26" s="1062"/>
      <c r="BZ26" s="1062"/>
      <c r="CA26" s="1062"/>
      <c r="CB26" s="1062"/>
      <c r="CC26" s="1062"/>
      <c r="CD26" s="1062"/>
      <c r="CE26" s="1062"/>
    </row>
    <row r="27" spans="1:83" ht="11.25" hidden="1" customHeight="1">
      <c r="A27" s="1714"/>
      <c r="B27" s="1553"/>
      <c r="C27" s="1553"/>
      <c r="D27" s="2004"/>
      <c r="E27" s="551"/>
      <c r="F27" s="551">
        <v>0</v>
      </c>
      <c r="G27" s="551"/>
      <c r="H27" s="551"/>
      <c r="I27" s="551"/>
      <c r="J27" s="551"/>
      <c r="K27" s="551"/>
      <c r="L27" s="551"/>
      <c r="M27" s="551"/>
      <c r="N27" s="551"/>
      <c r="O27" s="551"/>
      <c r="P27" s="551"/>
      <c r="Q27" s="551"/>
      <c r="R27" s="551"/>
      <c r="S27" s="552"/>
      <c r="T27" s="633"/>
      <c r="U27" s="1995"/>
      <c r="V27" s="1995"/>
      <c r="W27" s="1553"/>
      <c r="X27" s="1553"/>
      <c r="Y27" s="1553"/>
      <c r="Z27" s="1553"/>
      <c r="AA27" s="1553"/>
      <c r="AB27" s="1062"/>
      <c r="AC27" s="2018"/>
      <c r="AD27" s="545"/>
      <c r="AE27" s="1062"/>
      <c r="AF27" s="1062"/>
      <c r="AG27" s="1553"/>
      <c r="AH27" s="1553"/>
      <c r="AI27" s="1553"/>
      <c r="AJ27" s="1553"/>
      <c r="AK27" s="1553"/>
      <c r="AL27" s="1553"/>
      <c r="AM27" s="1553"/>
      <c r="AN27" s="1553"/>
      <c r="AO27" s="1553"/>
      <c r="AP27" s="1553"/>
      <c r="AQ27" s="1553"/>
      <c r="AR27" s="1553"/>
      <c r="AS27" s="1553"/>
      <c r="AT27" s="1553"/>
      <c r="AU27" s="1553"/>
      <c r="AV27" s="1553"/>
      <c r="AW27" s="1553"/>
      <c r="AX27" s="1553"/>
      <c r="AY27" s="1553"/>
      <c r="AZ27" s="1553"/>
      <c r="BA27" s="1553"/>
      <c r="BB27" s="1553"/>
      <c r="BC27" s="1553"/>
      <c r="BD27" s="1553"/>
      <c r="BE27" s="1553"/>
      <c r="BF27" s="1553"/>
      <c r="BG27" s="1553"/>
      <c r="BH27" s="1553"/>
      <c r="BI27" s="1553"/>
      <c r="BJ27" s="1553"/>
      <c r="BK27" s="1553"/>
      <c r="BL27" s="1553"/>
      <c r="BM27" s="1553"/>
      <c r="BN27" s="1553"/>
      <c r="BO27" s="1553"/>
      <c r="BP27" s="1553"/>
      <c r="BQ27" s="1553"/>
      <c r="BR27" s="1553"/>
      <c r="BS27" s="1553"/>
      <c r="BT27" s="1553"/>
      <c r="BU27" s="1553"/>
      <c r="BV27" s="1553"/>
      <c r="BW27" s="1553"/>
      <c r="BX27" s="1553"/>
      <c r="BY27" s="1553"/>
      <c r="BZ27" s="1553"/>
      <c r="CA27" s="1553"/>
      <c r="CB27" s="1553"/>
      <c r="CC27" s="1553"/>
      <c r="CD27" s="1553"/>
      <c r="CE27" s="1553"/>
    </row>
    <row r="28" spans="1:83" ht="11.25" hidden="1" customHeight="1">
      <c r="A28" s="1727"/>
      <c r="B28" s="1062"/>
      <c r="C28" s="342"/>
      <c r="D28" s="2004"/>
      <c r="E28" s="565" t="s">
        <v>18</v>
      </c>
      <c r="F28" s="1070" t="s">
        <v>18</v>
      </c>
      <c r="G28" s="1070" t="s">
        <v>422</v>
      </c>
      <c r="H28" s="567" t="s">
        <v>18</v>
      </c>
      <c r="I28" s="567"/>
      <c r="J28" s="567"/>
      <c r="K28" s="567"/>
      <c r="L28" s="567"/>
      <c r="M28" s="567"/>
      <c r="N28" s="567"/>
      <c r="O28" s="567"/>
      <c r="P28" s="567"/>
      <c r="Q28" s="567"/>
      <c r="R28" s="568"/>
      <c r="S28" s="569"/>
      <c r="T28" s="633"/>
      <c r="U28" s="1995"/>
      <c r="V28" s="1995"/>
      <c r="W28" s="1062"/>
      <c r="X28" s="1062"/>
      <c r="Y28" s="1062"/>
      <c r="Z28" s="1062"/>
      <c r="AA28" s="1553"/>
      <c r="AB28" s="1062"/>
      <c r="AC28" s="2018"/>
      <c r="AD28" s="545"/>
      <c r="AE28" s="1062"/>
      <c r="AF28" s="1062"/>
      <c r="AG28" s="1553"/>
      <c r="AH28" s="1553"/>
      <c r="AI28" s="1553"/>
      <c r="AJ28" s="1553"/>
      <c r="AK28" s="1553"/>
      <c r="AL28" s="1553"/>
      <c r="AM28" s="1553"/>
      <c r="AN28" s="1553"/>
      <c r="AO28" s="1553"/>
      <c r="AP28" s="1553"/>
      <c r="AQ28" s="1553"/>
      <c r="AR28" s="1553"/>
      <c r="AS28" s="1553"/>
      <c r="AT28" s="1553"/>
      <c r="AU28" s="1553"/>
      <c r="AV28" s="1553"/>
      <c r="AW28" s="1553"/>
      <c r="AX28" s="1553"/>
      <c r="AY28" s="1553"/>
      <c r="AZ28" s="1553"/>
      <c r="BA28" s="1553"/>
      <c r="BB28" s="1553"/>
      <c r="BC28" s="1553"/>
      <c r="BD28" s="1553"/>
      <c r="BE28" s="1553"/>
      <c r="BF28" s="1553"/>
      <c r="BG28" s="1553"/>
      <c r="BH28" s="1553"/>
      <c r="BI28" s="1553"/>
      <c r="BJ28" s="1553"/>
      <c r="BK28" s="1553"/>
      <c r="BL28" s="1553"/>
      <c r="BM28" s="1553"/>
      <c r="BN28" s="1553"/>
      <c r="BO28" s="1553"/>
      <c r="BP28" s="1553"/>
      <c r="BQ28" s="1553"/>
      <c r="BR28" s="1553"/>
      <c r="BS28" s="1553"/>
      <c r="BT28" s="1553"/>
      <c r="BU28" s="1553"/>
      <c r="BV28" s="1062"/>
      <c r="BW28" s="1062"/>
      <c r="BX28" s="1062"/>
      <c r="BY28" s="1062"/>
      <c r="BZ28" s="1062"/>
      <c r="CA28" s="1062"/>
      <c r="CB28" s="1062"/>
      <c r="CC28" s="1062"/>
      <c r="CD28" s="1062"/>
      <c r="CE28" s="1062"/>
    </row>
    <row r="29" spans="1:83" ht="24.75" hidden="1" customHeight="1">
      <c r="A29" s="1727"/>
      <c r="B29" s="1062"/>
      <c r="C29" s="342"/>
      <c r="D29" s="2004"/>
      <c r="E29" s="2024" t="s">
        <v>423</v>
      </c>
      <c r="F29" s="2024"/>
      <c r="G29" s="2024"/>
      <c r="H29" s="2024"/>
      <c r="I29" s="2024"/>
      <c r="J29" s="2024"/>
      <c r="K29" s="2024"/>
      <c r="L29" s="2024"/>
      <c r="M29" s="2024"/>
      <c r="N29" s="2024"/>
      <c r="O29" s="2024"/>
      <c r="P29" s="2024"/>
      <c r="Q29" s="480">
        <f>SUMIF(T30:T31,"i",Q30:Q31)</f>
        <v>0</v>
      </c>
      <c r="R29" s="925"/>
      <c r="S29" s="1719" t="s">
        <v>424</v>
      </c>
      <c r="T29" s="632" t="s">
        <v>420</v>
      </c>
      <c r="U29" s="1995">
        <v>1</v>
      </c>
      <c r="V29" s="1995" t="s">
        <v>421</v>
      </c>
      <c r="W29" s="1062"/>
      <c r="X29" s="1062"/>
      <c r="Y29" s="1062"/>
      <c r="Z29" s="1062"/>
      <c r="AA29" s="1553"/>
      <c r="AB29" s="1062"/>
      <c r="AC29" s="1717"/>
      <c r="AD29" s="545"/>
      <c r="AE29" s="1062"/>
      <c r="AF29" s="1062"/>
      <c r="AG29" s="1553"/>
      <c r="AH29" s="1553"/>
      <c r="AI29" s="1553"/>
      <c r="AJ29" s="1553"/>
      <c r="AK29" s="1553"/>
      <c r="AL29" s="1553"/>
      <c r="AM29" s="1553"/>
      <c r="AN29" s="1553"/>
      <c r="AO29" s="1553"/>
      <c r="AP29" s="1553"/>
      <c r="AQ29" s="1553"/>
      <c r="AR29" s="1553"/>
      <c r="AS29" s="1553"/>
      <c r="AT29" s="1553"/>
      <c r="AU29" s="1553"/>
      <c r="AV29" s="1553"/>
      <c r="AW29" s="1553"/>
      <c r="AX29" s="1553"/>
      <c r="AY29" s="1553"/>
      <c r="AZ29" s="1553"/>
      <c r="BA29" s="1553"/>
      <c r="BB29" s="1553"/>
      <c r="BC29" s="1553"/>
      <c r="BD29" s="1553"/>
      <c r="BE29" s="1553"/>
      <c r="BF29" s="1553"/>
      <c r="BG29" s="1553"/>
      <c r="BH29" s="1553"/>
      <c r="BI29" s="1553"/>
      <c r="BJ29" s="1553"/>
      <c r="BK29" s="1553"/>
      <c r="BL29" s="1553"/>
      <c r="BM29" s="1553"/>
      <c r="BN29" s="1553"/>
      <c r="BO29" s="1553"/>
      <c r="BP29" s="1553"/>
      <c r="BQ29" s="1553"/>
      <c r="BR29" s="1553"/>
      <c r="BS29" s="1553"/>
      <c r="BT29" s="1553"/>
      <c r="BU29" s="1553"/>
      <c r="BV29" s="1062"/>
      <c r="BW29" s="1062"/>
      <c r="BX29" s="1062"/>
      <c r="BY29" s="1062"/>
      <c r="BZ29" s="1062"/>
      <c r="CA29" s="1062"/>
      <c r="CB29" s="1062"/>
      <c r="CC29" s="1062"/>
      <c r="CD29" s="1062"/>
      <c r="CE29" s="1062"/>
    </row>
    <row r="30" spans="1:83" ht="11.25" hidden="1" customHeight="1">
      <c r="A30" s="1714"/>
      <c r="B30" s="1553"/>
      <c r="C30" s="1553"/>
      <c r="D30" s="2004"/>
      <c r="E30" s="551"/>
      <c r="F30" s="551">
        <v>0</v>
      </c>
      <c r="G30" s="551"/>
      <c r="H30" s="551"/>
      <c r="I30" s="551"/>
      <c r="J30" s="551"/>
      <c r="K30" s="551"/>
      <c r="L30" s="551"/>
      <c r="M30" s="551"/>
      <c r="N30" s="551"/>
      <c r="O30" s="551"/>
      <c r="P30" s="551"/>
      <c r="Q30" s="551"/>
      <c r="R30" s="551"/>
      <c r="S30" s="552"/>
      <c r="T30" s="633"/>
      <c r="U30" s="1995"/>
      <c r="V30" s="1995"/>
      <c r="W30" s="1553"/>
      <c r="X30" s="1553"/>
      <c r="Y30" s="1553"/>
      <c r="Z30" s="1553"/>
      <c r="AA30" s="1553"/>
      <c r="AB30" s="1062"/>
      <c r="AC30" s="1717"/>
      <c r="AD30" s="545"/>
      <c r="AE30" s="1062"/>
      <c r="AF30" s="1062"/>
      <c r="AG30" s="1553"/>
      <c r="AH30" s="1553"/>
      <c r="AI30" s="1553"/>
      <c r="AJ30" s="1553"/>
      <c r="AK30" s="1553"/>
      <c r="AL30" s="1553"/>
      <c r="AM30" s="1553"/>
      <c r="AN30" s="1553"/>
      <c r="AO30" s="1553"/>
      <c r="AP30" s="1553"/>
      <c r="AQ30" s="1553"/>
      <c r="AR30" s="1553"/>
      <c r="AS30" s="1553"/>
      <c r="AT30" s="1553"/>
      <c r="AU30" s="1553"/>
      <c r="AV30" s="1553"/>
      <c r="AW30" s="1553"/>
      <c r="AX30" s="1553"/>
      <c r="AY30" s="1553"/>
      <c r="AZ30" s="1553"/>
      <c r="BA30" s="1553"/>
      <c r="BB30" s="1553"/>
      <c r="BC30" s="1553"/>
      <c r="BD30" s="1553"/>
      <c r="BE30" s="1553"/>
      <c r="BF30" s="1553"/>
      <c r="BG30" s="1553"/>
      <c r="BH30" s="1553"/>
      <c r="BI30" s="1553"/>
      <c r="BJ30" s="1553"/>
      <c r="BK30" s="1553"/>
      <c r="BL30" s="1553"/>
      <c r="BM30" s="1553"/>
      <c r="BN30" s="1553"/>
      <c r="BO30" s="1553"/>
      <c r="BP30" s="1553"/>
      <c r="BQ30" s="1553"/>
      <c r="BR30" s="1553"/>
      <c r="BS30" s="1553"/>
      <c r="BT30" s="1553"/>
      <c r="BU30" s="1553"/>
      <c r="BV30" s="1553"/>
      <c r="BW30" s="1553"/>
      <c r="BX30" s="1553"/>
      <c r="BY30" s="1553"/>
      <c r="BZ30" s="1553"/>
      <c r="CA30" s="1553"/>
      <c r="CB30" s="1553"/>
      <c r="CC30" s="1553"/>
      <c r="CD30" s="1553"/>
      <c r="CE30" s="1553"/>
    </row>
    <row r="31" spans="1:83" ht="11.25" hidden="1" customHeight="1">
      <c r="A31" s="1727"/>
      <c r="B31" s="1062"/>
      <c r="C31" s="342"/>
      <c r="D31" s="2005"/>
      <c r="E31" s="565" t="s">
        <v>18</v>
      </c>
      <c r="F31" s="1070" t="s">
        <v>18</v>
      </c>
      <c r="G31" s="1070" t="s">
        <v>422</v>
      </c>
      <c r="H31" s="567" t="s">
        <v>18</v>
      </c>
      <c r="I31" s="567"/>
      <c r="J31" s="567"/>
      <c r="K31" s="567"/>
      <c r="L31" s="567"/>
      <c r="M31" s="567"/>
      <c r="N31" s="567"/>
      <c r="O31" s="567"/>
      <c r="P31" s="567"/>
      <c r="Q31" s="567"/>
      <c r="R31" s="568"/>
      <c r="S31" s="569"/>
      <c r="T31" s="633"/>
      <c r="U31" s="1995"/>
      <c r="V31" s="1995"/>
      <c r="W31" s="1062"/>
      <c r="X31" s="1062"/>
      <c r="Y31" s="1062"/>
      <c r="Z31" s="1062"/>
      <c r="AA31" s="1553"/>
      <c r="AB31" s="1062"/>
      <c r="AC31" s="1717"/>
      <c r="AD31" s="545"/>
      <c r="AE31" s="1062"/>
      <c r="AF31" s="1062"/>
      <c r="AG31" s="1553"/>
      <c r="AH31" s="1553"/>
      <c r="AI31" s="1553"/>
      <c r="AJ31" s="1553"/>
      <c r="AK31" s="1553"/>
      <c r="AL31" s="1553"/>
      <c r="AM31" s="1553"/>
      <c r="AN31" s="1553"/>
      <c r="AO31" s="1553"/>
      <c r="AP31" s="1553"/>
      <c r="AQ31" s="1553"/>
      <c r="AR31" s="1553"/>
      <c r="AS31" s="1553"/>
      <c r="AT31" s="1553"/>
      <c r="AU31" s="1553"/>
      <c r="AV31" s="1553"/>
      <c r="AW31" s="1553"/>
      <c r="AX31" s="1553"/>
      <c r="AY31" s="1553"/>
      <c r="AZ31" s="1553"/>
      <c r="BA31" s="1553"/>
      <c r="BB31" s="1553"/>
      <c r="BC31" s="1553"/>
      <c r="BD31" s="1553"/>
      <c r="BE31" s="1553"/>
      <c r="BF31" s="1553"/>
      <c r="BG31" s="1553"/>
      <c r="BH31" s="1553"/>
      <c r="BI31" s="1553"/>
      <c r="BJ31" s="1553"/>
      <c r="BK31" s="1553"/>
      <c r="BL31" s="1553"/>
      <c r="BM31" s="1553"/>
      <c r="BN31" s="1553"/>
      <c r="BO31" s="1553"/>
      <c r="BP31" s="1553"/>
      <c r="BQ31" s="1553"/>
      <c r="BR31" s="1553"/>
      <c r="BS31" s="1553"/>
      <c r="BT31" s="1553"/>
      <c r="BU31" s="1553"/>
      <c r="BV31" s="1062"/>
      <c r="BW31" s="1062"/>
      <c r="BX31" s="1062"/>
      <c r="BY31" s="1062"/>
      <c r="BZ31" s="1062"/>
      <c r="CA31" s="1062"/>
      <c r="CB31" s="1062"/>
      <c r="CC31" s="1062"/>
      <c r="CD31" s="1062"/>
      <c r="CE31" s="1062"/>
    </row>
    <row r="32" spans="1:83" ht="18.75" customHeight="1">
      <c r="D32" s="955"/>
      <c r="E32" s="955"/>
      <c r="F32" s="955"/>
      <c r="G32" s="955"/>
      <c r="H32" s="955"/>
      <c r="I32" s="955"/>
      <c r="J32" s="955"/>
      <c r="K32" s="955"/>
      <c r="L32" s="955"/>
      <c r="M32" s="955"/>
      <c r="N32" s="955"/>
      <c r="O32" s="955"/>
      <c r="P32" s="955"/>
      <c r="Q32" s="955"/>
      <c r="R32" s="955"/>
      <c r="S32" s="955"/>
      <c r="T32" s="256"/>
    </row>
    <row r="33" spans="4:18" ht="11.25" customHeight="1">
      <c r="D33" s="435"/>
    </row>
    <row r="34" spans="4:18" ht="11.25" customHeight="1">
      <c r="D34" s="570"/>
      <c r="E34" s="570"/>
      <c r="F34" s="570"/>
      <c r="G34" s="571"/>
    </row>
    <row r="36" spans="4:18" ht="11.25" customHeight="1">
      <c r="D36" s="572"/>
      <c r="E36" s="2197"/>
      <c r="F36" s="2197"/>
      <c r="G36" s="2197"/>
      <c r="H36" s="2197"/>
      <c r="I36" s="2197"/>
      <c r="J36" s="2197"/>
      <c r="K36" s="2197"/>
      <c r="L36" s="2197"/>
      <c r="M36" s="2197"/>
      <c r="N36" s="2197"/>
      <c r="O36" s="2197"/>
      <c r="P36" s="2197"/>
      <c r="Q36" s="2197"/>
      <c r="R36" s="2197"/>
    </row>
    <row r="37" spans="4:18" ht="11.25" customHeight="1">
      <c r="F37" s="672"/>
      <c r="G37" s="672"/>
    </row>
  </sheetData>
  <sheetProtection formatColumns="0" formatRows="0" insertRows="0" deleteColumns="0" deleteRows="0" sort="0" autoFilter="0"/>
  <mergeCells count="36">
    <mergeCell ref="AC23:AC28"/>
    <mergeCell ref="E24:G24"/>
    <mergeCell ref="H24:R24"/>
    <mergeCell ref="E25:G25"/>
    <mergeCell ref="H25:R25"/>
    <mergeCell ref="E26:P26"/>
    <mergeCell ref="U26:U28"/>
    <mergeCell ref="V26:V28"/>
    <mergeCell ref="U29:U31"/>
    <mergeCell ref="V29:V31"/>
    <mergeCell ref="D23:D31"/>
    <mergeCell ref="E23:G23"/>
    <mergeCell ref="H23:R23"/>
    <mergeCell ref="E29:P29"/>
    <mergeCell ref="U20:U22"/>
    <mergeCell ref="V20:V22"/>
    <mergeCell ref="AC14:AC19"/>
    <mergeCell ref="E17:P17"/>
    <mergeCell ref="U17:U19"/>
    <mergeCell ref="V17:V19"/>
    <mergeCell ref="E14:G14"/>
    <mergeCell ref="E15:G15"/>
    <mergeCell ref="E16:G16"/>
    <mergeCell ref="D14:D22"/>
    <mergeCell ref="H14:R14"/>
    <mergeCell ref="H15:R15"/>
    <mergeCell ref="H16:R16"/>
    <mergeCell ref="E36:R36"/>
    <mergeCell ref="E20:P20"/>
    <mergeCell ref="E5:K5"/>
    <mergeCell ref="E6:K6"/>
    <mergeCell ref="E9:R9"/>
    <mergeCell ref="S9:S10"/>
    <mergeCell ref="E10:F10"/>
    <mergeCell ref="H10:I10"/>
    <mergeCell ref="L10:M10"/>
  </mergeCell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249977111117893"/>
  </sheetPr>
  <dimension ref="A1:AF218"/>
  <sheetViews>
    <sheetView showGridLines="0" topLeftCell="D5" zoomScale="90" workbookViewId="0">
      <selection activeCell="J1" sqref="J1:J1048576"/>
    </sheetView>
  </sheetViews>
  <sheetFormatPr defaultColWidth="9.140625" defaultRowHeight="11.25" customHeight="1"/>
  <cols>
    <col min="1" max="1" width="10.7109375" style="899" hidden="1" customWidth="1"/>
    <col min="2" max="2" width="16.85546875" style="1284" hidden="1" customWidth="1"/>
    <col min="3" max="3" width="5.5703125" style="1559" hidden="1" customWidth="1"/>
    <col min="4" max="4" width="3.7109375" style="1552" customWidth="1"/>
    <col min="5" max="5" width="7.7109375" style="1552" customWidth="1"/>
    <col min="6" max="6" width="56.140625" style="1552" customWidth="1"/>
    <col min="7" max="7" width="10.42578125" style="1552" customWidth="1"/>
    <col min="8" max="8" width="40.7109375" style="1552" hidden="1" customWidth="1"/>
    <col min="9" max="10" width="40.7109375" style="1552" customWidth="1"/>
    <col min="11" max="11" width="40.7109375" style="1552" hidden="1" customWidth="1"/>
    <col min="12" max="12" width="9.7109375" style="1284" customWidth="1"/>
    <col min="13" max="13" width="5.28515625" style="1559" customWidth="1"/>
    <col min="14" max="14" width="3.7109375" style="1559" customWidth="1"/>
    <col min="15" max="18" width="3.7109375" style="1284" customWidth="1"/>
    <col min="19" max="19" width="10.5703125" style="1559" customWidth="1"/>
    <col min="20" max="20" width="34.7109375" style="1284" customWidth="1"/>
    <col min="21" max="21" width="9.42578125" style="1284" customWidth="1"/>
    <col min="22" max="22" width="9.140625" style="652"/>
    <col min="23" max="27" width="9.140625" style="1284"/>
    <col min="28" max="32" width="9.140625" style="1549"/>
  </cols>
  <sheetData>
    <row r="1" spans="1:32" s="1284" customFormat="1" ht="11.25" hidden="1" customHeight="1">
      <c r="A1" s="899"/>
      <c r="C1" s="1553"/>
      <c r="D1" s="462"/>
      <c r="H1" s="1062">
        <v>4</v>
      </c>
      <c r="I1" s="1062">
        <v>4</v>
      </c>
      <c r="J1" s="1284">
        <v>4</v>
      </c>
      <c r="K1" s="1284">
        <v>4</v>
      </c>
      <c r="M1" s="1553"/>
      <c r="N1" s="1553"/>
      <c r="S1" s="1553"/>
    </row>
    <row r="2" spans="1:32" s="1284" customFormat="1" ht="22.5" hidden="1" customHeight="1">
      <c r="A2" s="899"/>
      <c r="C2" s="1553"/>
      <c r="D2" s="463"/>
      <c r="E2" s="1554"/>
      <c r="F2" s="465"/>
      <c r="G2" s="1556" t="s">
        <v>1717</v>
      </c>
      <c r="H2" s="466"/>
      <c r="I2" s="466"/>
      <c r="J2" s="664"/>
      <c r="K2" s="664"/>
      <c r="L2" s="467"/>
      <c r="M2" s="1553"/>
      <c r="N2" s="1553"/>
      <c r="S2" s="1553"/>
      <c r="V2" s="468"/>
      <c r="AB2" s="1549"/>
      <c r="AC2" s="1549"/>
      <c r="AD2" s="1549"/>
      <c r="AE2" s="1549"/>
      <c r="AF2" s="1549"/>
    </row>
    <row r="3" spans="1:32" ht="11.25" hidden="1" customHeight="1"/>
    <row r="4" spans="1:32" s="1549" customFormat="1" ht="11.25" hidden="1" customHeight="1">
      <c r="A4" s="899"/>
      <c r="B4" s="1062"/>
      <c r="C4" s="1553"/>
      <c r="D4" s="285"/>
      <c r="L4" s="1062"/>
      <c r="M4" s="1553"/>
      <c r="N4" s="1553"/>
      <c r="O4" s="1062"/>
      <c r="P4" s="1062"/>
      <c r="Q4" s="1062"/>
      <c r="R4" s="1062"/>
      <c r="S4" s="1553"/>
      <c r="T4" s="1062"/>
      <c r="U4" s="1062"/>
      <c r="V4" s="468"/>
      <c r="W4" s="1062"/>
      <c r="X4" s="1062"/>
      <c r="Y4" s="1062"/>
      <c r="Z4" s="1062"/>
      <c r="AA4" s="1062"/>
    </row>
    <row r="6" spans="1:32" ht="24" customHeight="1">
      <c r="E6" s="1867" t="s">
        <v>1756</v>
      </c>
      <c r="F6" s="1868"/>
      <c r="G6" s="1868"/>
      <c r="H6" s="1868"/>
      <c r="I6" s="1869"/>
      <c r="J6" s="1795"/>
      <c r="K6" s="1795"/>
    </row>
    <row r="7" spans="1:32" ht="24" customHeight="1">
      <c r="E7" s="1974" t="str">
        <f>IF(org=0,"Не определено",org)</f>
        <v>АО СЗ "КМАпроектжилстрой"</v>
      </c>
      <c r="F7" s="1975"/>
      <c r="G7" s="1975"/>
      <c r="H7" s="1975"/>
      <c r="I7" s="1976"/>
      <c r="J7" s="1796"/>
      <c r="K7" s="1796"/>
    </row>
    <row r="8" spans="1:32" ht="11.25" customHeight="1">
      <c r="E8" s="1039"/>
      <c r="F8" s="1039"/>
      <c r="G8" s="1039"/>
      <c r="H8" s="1039"/>
      <c r="I8" s="1039"/>
      <c r="J8" s="1040"/>
      <c r="K8" s="1040"/>
    </row>
    <row r="9" spans="1:32" s="1559" customFormat="1" ht="0.75" customHeight="1">
      <c r="A9" s="1069"/>
      <c r="H9" s="803"/>
      <c r="I9" s="803" t="s">
        <v>118</v>
      </c>
      <c r="J9" s="803" t="s">
        <v>123</v>
      </c>
      <c r="K9" s="803"/>
    </row>
    <row r="10" spans="1:32" ht="11.25" customHeight="1">
      <c r="E10" s="626"/>
      <c r="F10" s="2164" t="s">
        <v>105</v>
      </c>
      <c r="G10" s="2165"/>
      <c r="H10" s="1474" t="str">
        <f>IF(H9="","",INDEX(DIFFERENTIATION_UNMERGE_VD,MATCH(H9,DIFFERENTIATION_ID_DIFF,0)))</f>
        <v/>
      </c>
      <c r="I10" s="1474" t="str">
        <f>IF(I9="","",INDEX(DIFFERENTIATION_UNMERGE_VD,MATCH(I9,DIFFERENTIATION_ID_DIFF,0)))</f>
        <v>Холодное водоснабжение. Питьевая вода; Транспортировка. Питьевая вода; Подключение (технологическое присоединение) к централизованной системе водоснабжения</v>
      </c>
      <c r="J10" s="1805" t="str">
        <f>IF(J9="","",INDEX(DIFFERENTIATION_UNMERGE_VD,MATCH(J9,DIFFERENTIATION_ID_DIFF,0)))</f>
        <v>Холодное водоснабжение. Питьевая вода; Транспортировка. Питьевая вода; Подключение (технологическое присоединение) к централизованной системе водоснабжения</v>
      </c>
      <c r="K10" s="1805" t="str">
        <f>IF(K9="","",INDEX(DIFFERENTIATION_UNMERGE_VD,MATCH(K9,DIFFERENTIATION_ID_DIFF,0)))</f>
        <v/>
      </c>
    </row>
    <row r="11" spans="1:32" ht="11.25" customHeight="1">
      <c r="E11" s="626"/>
      <c r="F11" s="2164" t="s">
        <v>416</v>
      </c>
      <c r="G11" s="2165"/>
      <c r="H11" s="1474" t="str">
        <f>IF(H9="","",INDEX(DIFFERENTIATION_UNMERGE_AREA,MATCH(H9,DIFFERENTIATION_ID_DIFF,0)))</f>
        <v/>
      </c>
      <c r="I11" s="1474" t="str">
        <f>IF(I9="","",INDEX(DIFFERENTIATION_UNMERGE_AREA,MATCH(I9,DIFFERENTIATION_ID_DIFF,0)))</f>
        <v>без дифференциации</v>
      </c>
      <c r="J11" s="1805" t="str">
        <f>IF(J9="","",INDEX(DIFFERENTIATION_UNMERGE_AREA,MATCH(J9,DIFFERENTIATION_ID_DIFF,0)))</f>
        <v>без дифференциации</v>
      </c>
      <c r="K11" s="1805" t="str">
        <f>IF(K9="","",INDEX(DIFFERENTIATION_UNMERGE_AREA,MATCH(K9,DIFFERENTIATION_ID_DIFF,0)))</f>
        <v/>
      </c>
    </row>
    <row r="12" spans="1:32" ht="11.25" hidden="1" customHeight="1">
      <c r="E12" s="1579"/>
      <c r="F12" s="2198" t="s">
        <v>417</v>
      </c>
      <c r="G12" s="2199"/>
      <c r="H12" s="1580" t="str">
        <f>IF(H9="","",INDEX(DIFFERENTIATION_UNMERGE_SYSTEM,MATCH(H9,DIFFERENTIATION_ID_DIFF,0)))</f>
        <v/>
      </c>
      <c r="I12" s="1580" t="str">
        <f>IF(I9="","",INDEX(DIFFERENTIATION_UNMERGE_SYSTEM,MATCH(I9,DIFFERENTIATION_ID_DIFF,0)))</f>
        <v>Тереховский водозабор</v>
      </c>
      <c r="J12" s="1580" t="str">
        <f>IF(J9="","",INDEX(DIFFERENTIATION_UNMERGE_SYSTEM,MATCH(J9,DIFFERENTIATION_ID_DIFF,0)))</f>
        <v>Площадка цем/завода</v>
      </c>
      <c r="K12" s="1580" t="str">
        <f>IF(K9="","",INDEX(DIFFERENTIATION_UNMERGE_SYSTEM,MATCH(K9,DIFFERENTIATION_ID_DIFF,0)))</f>
        <v/>
      </c>
    </row>
    <row r="13" spans="1:32" ht="11.25" customHeight="1">
      <c r="E13" s="2166" t="s">
        <v>291</v>
      </c>
      <c r="F13" s="2167"/>
      <c r="G13" s="2167"/>
      <c r="H13" s="1473"/>
      <c r="I13" s="1473"/>
      <c r="J13" s="1801"/>
      <c r="K13" s="1801"/>
    </row>
    <row r="14" spans="1:32" ht="22.5" customHeight="1">
      <c r="E14" s="1556" t="s">
        <v>88</v>
      </c>
      <c r="F14" s="1551" t="s">
        <v>293</v>
      </c>
      <c r="G14" s="1551" t="s">
        <v>1614</v>
      </c>
      <c r="H14" s="1551" t="s">
        <v>294</v>
      </c>
      <c r="I14" s="1551" t="s">
        <v>294</v>
      </c>
      <c r="J14" s="1791" t="s">
        <v>294</v>
      </c>
      <c r="K14" s="1791" t="s">
        <v>294</v>
      </c>
    </row>
    <row r="15" spans="1:32" ht="18.75" customHeight="1">
      <c r="D15" s="1555"/>
      <c r="E15" s="1547" t="s">
        <v>109</v>
      </c>
      <c r="F15" s="622" t="s">
        <v>1757</v>
      </c>
      <c r="G15" s="1563" t="s">
        <v>1717</v>
      </c>
      <c r="H15" s="479"/>
      <c r="I15" s="479"/>
      <c r="J15" s="479"/>
      <c r="K15" s="479"/>
      <c r="L15" s="467" t="s">
        <v>1758</v>
      </c>
    </row>
    <row r="16" spans="1:32" ht="33.75" customHeight="1">
      <c r="D16" s="1555"/>
      <c r="E16" s="1547" t="s">
        <v>110</v>
      </c>
      <c r="F16" s="622" t="s">
        <v>1759</v>
      </c>
      <c r="G16" s="1563" t="s">
        <v>1717</v>
      </c>
      <c r="H16" s="480">
        <f>SUM(H17,H20:H32)</f>
        <v>0</v>
      </c>
      <c r="I16" s="480">
        <f>SUM(I17,I20:I32)</f>
        <v>0</v>
      </c>
      <c r="J16" s="480">
        <f>SUM(J17,J20:J32)</f>
        <v>0</v>
      </c>
      <c r="K16" s="480">
        <f>SUM(K17,K20:K32)</f>
        <v>0</v>
      </c>
      <c r="L16" s="467" t="s">
        <v>1758</v>
      </c>
    </row>
    <row r="17" spans="1:32" ht="18.75" customHeight="1">
      <c r="D17" s="1555"/>
      <c r="E17" s="1581" t="s">
        <v>454</v>
      </c>
      <c r="F17" s="866" t="s">
        <v>1760</v>
      </c>
      <c r="G17" s="1560" t="s">
        <v>1717</v>
      </c>
      <c r="H17" s="479"/>
      <c r="I17" s="479"/>
      <c r="J17" s="479"/>
      <c r="K17" s="479"/>
      <c r="L17" s="467"/>
    </row>
    <row r="18" spans="1:32" ht="22.5" customHeight="1">
      <c r="D18" s="1555"/>
      <c r="E18" s="1581" t="s">
        <v>456</v>
      </c>
      <c r="F18" s="1567" t="s">
        <v>1761</v>
      </c>
      <c r="G18" s="1560" t="s">
        <v>1717</v>
      </c>
      <c r="H18" s="479"/>
      <c r="I18" s="479"/>
      <c r="J18" s="479"/>
      <c r="K18" s="479"/>
      <c r="L18" s="467"/>
    </row>
    <row r="19" spans="1:32" ht="33.75" customHeight="1">
      <c r="D19" s="1555"/>
      <c r="E19" s="1581" t="s">
        <v>1762</v>
      </c>
      <c r="F19" s="1567" t="s">
        <v>1763</v>
      </c>
      <c r="G19" s="1560" t="s">
        <v>1717</v>
      </c>
      <c r="H19" s="479"/>
      <c r="I19" s="479"/>
      <c r="J19" s="479"/>
      <c r="K19" s="479"/>
      <c r="L19" s="467"/>
    </row>
    <row r="20" spans="1:32" ht="18.75" customHeight="1">
      <c r="D20" s="1555"/>
      <c r="E20" s="1581" t="s">
        <v>298</v>
      </c>
      <c r="F20" s="866" t="s">
        <v>1764</v>
      </c>
      <c r="G20" s="1560" t="s">
        <v>1717</v>
      </c>
      <c r="H20" s="479"/>
      <c r="I20" s="479"/>
      <c r="J20" s="479"/>
      <c r="K20" s="479"/>
      <c r="L20" s="467"/>
    </row>
    <row r="21" spans="1:32" ht="18.75" customHeight="1">
      <c r="D21" s="1555"/>
      <c r="E21" s="1581" t="s">
        <v>1371</v>
      </c>
      <c r="F21" s="1567" t="s">
        <v>1765</v>
      </c>
      <c r="G21" s="1560" t="s">
        <v>1717</v>
      </c>
      <c r="H21" s="479"/>
      <c r="I21" s="479"/>
      <c r="J21" s="479"/>
      <c r="K21" s="479"/>
      <c r="L21" s="467"/>
    </row>
    <row r="22" spans="1:32" ht="18.75" customHeight="1">
      <c r="D22" s="1555"/>
      <c r="E22" s="1581" t="s">
        <v>1376</v>
      </c>
      <c r="F22" s="1567" t="s">
        <v>1766</v>
      </c>
      <c r="G22" s="1560" t="s">
        <v>1717</v>
      </c>
      <c r="H22" s="479"/>
      <c r="I22" s="479"/>
      <c r="J22" s="479"/>
      <c r="K22" s="479"/>
      <c r="L22" s="467"/>
    </row>
    <row r="23" spans="1:32" ht="22.5" customHeight="1">
      <c r="D23" s="1555"/>
      <c r="E23" s="1581" t="s">
        <v>301</v>
      </c>
      <c r="F23" s="866" t="s">
        <v>1767</v>
      </c>
      <c r="G23" s="1560" t="s">
        <v>1717</v>
      </c>
      <c r="H23" s="479"/>
      <c r="I23" s="479"/>
      <c r="J23" s="479"/>
      <c r="K23" s="479"/>
      <c r="L23" s="467"/>
    </row>
    <row r="24" spans="1:32" ht="18.75" customHeight="1">
      <c r="D24" s="1555"/>
      <c r="E24" s="1581" t="s">
        <v>1370</v>
      </c>
      <c r="F24" s="1567" t="s">
        <v>1768</v>
      </c>
      <c r="G24" s="1560" t="s">
        <v>1717</v>
      </c>
      <c r="H24" s="479"/>
      <c r="I24" s="479"/>
      <c r="J24" s="479"/>
      <c r="K24" s="479"/>
      <c r="L24" s="467"/>
    </row>
    <row r="25" spans="1:32" ht="33.75" customHeight="1">
      <c r="D25" s="1555"/>
      <c r="E25" s="1581" t="s">
        <v>1375</v>
      </c>
      <c r="F25" s="1567" t="s">
        <v>1769</v>
      </c>
      <c r="G25" s="1560" t="s">
        <v>1717</v>
      </c>
      <c r="H25" s="479"/>
      <c r="I25" s="479"/>
      <c r="J25" s="479"/>
      <c r="K25" s="479"/>
      <c r="L25" s="467"/>
    </row>
    <row r="26" spans="1:32" ht="22.5" customHeight="1">
      <c r="D26" s="1555"/>
      <c r="E26" s="1581" t="s">
        <v>1365</v>
      </c>
      <c r="F26" s="866" t="s">
        <v>1770</v>
      </c>
      <c r="G26" s="1560" t="s">
        <v>1717</v>
      </c>
      <c r="H26" s="479"/>
      <c r="I26" s="479"/>
      <c r="J26" s="479"/>
      <c r="K26" s="479"/>
      <c r="L26" s="467"/>
    </row>
    <row r="27" spans="1:32" ht="18.75" customHeight="1">
      <c r="D27" s="1555"/>
      <c r="E27" s="1592" t="s">
        <v>1386</v>
      </c>
      <c r="F27" s="1567" t="s">
        <v>1771</v>
      </c>
      <c r="G27" s="1571" t="s">
        <v>1717</v>
      </c>
      <c r="H27" s="1593"/>
      <c r="I27" s="1593"/>
      <c r="J27" s="1593"/>
      <c r="K27" s="1593"/>
      <c r="L27" s="467"/>
    </row>
    <row r="28" spans="1:32" ht="18.75" customHeight="1">
      <c r="D28" s="1555"/>
      <c r="E28" s="1592" t="s">
        <v>1390</v>
      </c>
      <c r="F28" s="1567" t="s">
        <v>1772</v>
      </c>
      <c r="G28" s="1571" t="s">
        <v>1717</v>
      </c>
      <c r="H28" s="1593"/>
      <c r="I28" s="1593"/>
      <c r="J28" s="1593"/>
      <c r="K28" s="1593"/>
      <c r="L28" s="467"/>
    </row>
    <row r="29" spans="1:32" ht="18.75" customHeight="1">
      <c r="D29" s="1555"/>
      <c r="E29" s="1592" t="s">
        <v>1367</v>
      </c>
      <c r="F29" s="866" t="s">
        <v>1773</v>
      </c>
      <c r="G29" s="1571" t="s">
        <v>1717</v>
      </c>
      <c r="H29" s="1593"/>
      <c r="I29" s="1593"/>
      <c r="J29" s="1593"/>
      <c r="K29" s="1593"/>
      <c r="L29" s="467"/>
    </row>
    <row r="30" spans="1:32" ht="18.75" customHeight="1">
      <c r="D30" s="1555"/>
      <c r="E30" s="1592" t="s">
        <v>1381</v>
      </c>
      <c r="F30" s="866" t="s">
        <v>1774</v>
      </c>
      <c r="G30" s="1571" t="s">
        <v>1717</v>
      </c>
      <c r="H30" s="1593"/>
      <c r="I30" s="1593"/>
      <c r="J30" s="1593"/>
      <c r="K30" s="1593"/>
      <c r="L30" s="467"/>
    </row>
    <row r="31" spans="1:32" ht="18.75" customHeight="1">
      <c r="D31" s="1555"/>
      <c r="E31" s="1592" t="s">
        <v>1392</v>
      </c>
      <c r="F31" s="866" t="s">
        <v>1775</v>
      </c>
      <c r="G31" s="1571" t="s">
        <v>1717</v>
      </c>
      <c r="H31" s="1593"/>
      <c r="I31" s="1593"/>
      <c r="J31" s="1593"/>
      <c r="K31" s="1593"/>
      <c r="L31" s="467"/>
    </row>
    <row r="32" spans="1:32" s="1284" customFormat="1" ht="22.5" customHeight="1">
      <c r="A32" s="899"/>
      <c r="C32" s="1553"/>
      <c r="D32" s="1555"/>
      <c r="E32" s="1592" t="s">
        <v>1403</v>
      </c>
      <c r="F32" s="866" t="s">
        <v>1776</v>
      </c>
      <c r="G32" s="1561" t="s">
        <v>1717</v>
      </c>
      <c r="H32" s="500">
        <f>SUM(H33:H34)</f>
        <v>0</v>
      </c>
      <c r="I32" s="500">
        <f>SUM(I33:I34)</f>
        <v>0</v>
      </c>
      <c r="J32" s="500">
        <f>SUM(J33:J34)</f>
        <v>0</v>
      </c>
      <c r="K32" s="500">
        <f>SUM(K33:K34)</f>
        <v>0</v>
      </c>
      <c r="L32" s="467"/>
      <c r="M32" s="1553"/>
      <c r="N32" s="1553"/>
      <c r="S32" s="1553"/>
      <c r="V32" s="468"/>
      <c r="AB32" s="1549"/>
      <c r="AC32" s="1549"/>
      <c r="AD32" s="1549"/>
      <c r="AE32" s="1549"/>
      <c r="AF32" s="1549"/>
    </row>
    <row r="33" spans="1:32" s="1559" customFormat="1" ht="0.75" customHeight="1">
      <c r="A33" s="1069"/>
      <c r="D33" s="472"/>
      <c r="E33" s="715" t="str">
        <f>E32&amp;".0"</f>
        <v>2.8.0</v>
      </c>
      <c r="F33" s="903"/>
      <c r="G33" s="475"/>
      <c r="H33" s="904"/>
      <c r="I33" s="904"/>
      <c r="J33" s="904"/>
      <c r="K33" s="904"/>
    </row>
    <row r="34" spans="1:32" s="1284" customFormat="1" ht="18.75" customHeight="1">
      <c r="A34" s="899"/>
      <c r="C34" s="1553"/>
      <c r="D34" s="1550"/>
      <c r="E34" s="491"/>
      <c r="F34" s="1583" t="s">
        <v>1730</v>
      </c>
      <c r="G34" s="493"/>
      <c r="H34" s="494"/>
      <c r="I34" s="494"/>
      <c r="J34" s="1831"/>
      <c r="K34" s="1832"/>
      <c r="L34" s="467"/>
      <c r="M34" s="1553"/>
      <c r="N34" s="1553"/>
      <c r="S34" s="1553"/>
      <c r="V34" s="468"/>
      <c r="AB34" s="1549"/>
      <c r="AC34" s="1549"/>
      <c r="AD34" s="1549"/>
      <c r="AE34" s="1549"/>
      <c r="AF34" s="1549"/>
    </row>
    <row r="35" spans="1:32" ht="56.25" customHeight="1">
      <c r="D35" s="1555"/>
      <c r="E35" s="1592" t="s">
        <v>1411</v>
      </c>
      <c r="F35" s="866" t="s">
        <v>1777</v>
      </c>
      <c r="G35" s="1571" t="s">
        <v>1717</v>
      </c>
      <c r="H35" s="1593"/>
      <c r="I35" s="1593"/>
      <c r="J35" s="1593"/>
      <c r="K35" s="1593"/>
      <c r="L35" s="467"/>
    </row>
    <row r="36" spans="1:32" s="1284" customFormat="1" ht="22.5" customHeight="1">
      <c r="A36" s="901" t="s">
        <v>1731</v>
      </c>
      <c r="C36" s="1553"/>
      <c r="D36" s="1555"/>
      <c r="E36" s="1581" t="s">
        <v>90</v>
      </c>
      <c r="F36" s="622" t="s">
        <v>1778</v>
      </c>
      <c r="G36" s="1560" t="s">
        <v>1717</v>
      </c>
      <c r="H36" s="479"/>
      <c r="I36" s="479"/>
      <c r="J36" s="479"/>
      <c r="K36" s="479"/>
      <c r="L36" s="467"/>
      <c r="M36" s="1553"/>
      <c r="N36" s="1553"/>
      <c r="S36" s="1553"/>
      <c r="V36" s="468"/>
      <c r="AB36" s="1549"/>
      <c r="AC36" s="1549"/>
      <c r="AD36" s="1549"/>
      <c r="AE36" s="1549"/>
      <c r="AF36" s="1549"/>
    </row>
    <row r="37" spans="1:32" s="1284" customFormat="1" ht="22.5" customHeight="1">
      <c r="A37" s="901"/>
      <c r="C37" s="1553"/>
      <c r="D37" s="1555"/>
      <c r="E37" s="1581" t="s">
        <v>317</v>
      </c>
      <c r="F37" s="866" t="s">
        <v>1779</v>
      </c>
      <c r="G37" s="1571"/>
      <c r="H37" s="479"/>
      <c r="I37" s="479"/>
      <c r="J37" s="479"/>
      <c r="K37" s="479"/>
      <c r="L37" s="467"/>
      <c r="M37" s="1553"/>
      <c r="N37" s="1553"/>
      <c r="S37" s="1553"/>
      <c r="V37" s="468"/>
      <c r="AB37" s="1549"/>
      <c r="AC37" s="1549"/>
      <c r="AD37" s="1549"/>
      <c r="AE37" s="1549"/>
      <c r="AF37" s="1549"/>
    </row>
    <row r="38" spans="1:32" s="1284" customFormat="1" ht="18.75" customHeight="1">
      <c r="A38" s="899"/>
      <c r="C38" s="1553"/>
      <c r="D38" s="496"/>
      <c r="E38" s="1581" t="s">
        <v>91</v>
      </c>
      <c r="F38" s="622" t="s">
        <v>1466</v>
      </c>
      <c r="G38" s="1560" t="s">
        <v>1717</v>
      </c>
      <c r="H38" s="479"/>
      <c r="I38" s="479"/>
      <c r="J38" s="479"/>
      <c r="K38" s="479"/>
      <c r="L38" s="467"/>
      <c r="M38" s="1553"/>
      <c r="N38" s="1553"/>
      <c r="S38" s="1553"/>
      <c r="V38" s="468"/>
      <c r="AB38" s="1549"/>
      <c r="AC38" s="1549"/>
      <c r="AD38" s="1549"/>
      <c r="AE38" s="1549"/>
      <c r="AF38" s="1549"/>
    </row>
    <row r="39" spans="1:32" s="1284" customFormat="1" ht="22.5" customHeight="1">
      <c r="A39" s="899"/>
      <c r="C39" s="1553"/>
      <c r="D39" s="496"/>
      <c r="E39" s="1581" t="s">
        <v>1464</v>
      </c>
      <c r="F39" s="866" t="s">
        <v>1780</v>
      </c>
      <c r="G39" s="1571" t="s">
        <v>1717</v>
      </c>
      <c r="H39" s="479"/>
      <c r="I39" s="479"/>
      <c r="J39" s="479"/>
      <c r="K39" s="479"/>
      <c r="L39" s="467"/>
      <c r="M39" s="1553"/>
      <c r="N39" s="1553"/>
      <c r="S39" s="1553"/>
      <c r="V39" s="468"/>
      <c r="AB39" s="1549"/>
      <c r="AC39" s="1549"/>
      <c r="AD39" s="1549"/>
      <c r="AE39" s="1549"/>
      <c r="AF39" s="1549"/>
    </row>
    <row r="40" spans="1:32" s="1284" customFormat="1" ht="22.5" customHeight="1">
      <c r="A40" s="899"/>
      <c r="C40" s="1553"/>
      <c r="D40" s="1555"/>
      <c r="E40" s="1581" t="s">
        <v>1472</v>
      </c>
      <c r="F40" s="1567" t="s">
        <v>1781</v>
      </c>
      <c r="G40" s="1560" t="s">
        <v>1717</v>
      </c>
      <c r="H40" s="479"/>
      <c r="I40" s="479"/>
      <c r="J40" s="479"/>
      <c r="K40" s="479"/>
      <c r="L40" s="467"/>
      <c r="M40" s="1553"/>
      <c r="N40" s="1553"/>
      <c r="S40" s="1553"/>
      <c r="V40" s="468"/>
      <c r="AB40" s="1549"/>
      <c r="AC40" s="1549"/>
      <c r="AD40" s="1549"/>
      <c r="AE40" s="1549"/>
      <c r="AF40" s="1549"/>
    </row>
    <row r="41" spans="1:32" s="1284" customFormat="1" ht="22.5" customHeight="1">
      <c r="A41" s="899"/>
      <c r="C41" s="1553"/>
      <c r="D41" s="1555"/>
      <c r="E41" s="1581" t="s">
        <v>1477</v>
      </c>
      <c r="F41" s="1567" t="s">
        <v>1782</v>
      </c>
      <c r="G41" s="1560" t="s">
        <v>1717</v>
      </c>
      <c r="H41" s="479"/>
      <c r="I41" s="479"/>
      <c r="J41" s="479"/>
      <c r="K41" s="479"/>
      <c r="L41" s="467"/>
      <c r="M41" s="1553"/>
      <c r="N41" s="1553"/>
      <c r="S41" s="1553"/>
      <c r="V41" s="468"/>
      <c r="AB41" s="1549"/>
      <c r="AC41" s="1549"/>
      <c r="AD41" s="1549"/>
      <c r="AE41" s="1549"/>
      <c r="AF41" s="1549"/>
    </row>
    <row r="42" spans="1:32" s="1284" customFormat="1" ht="22.5" customHeight="1">
      <c r="A42" s="899"/>
      <c r="C42" s="1553"/>
      <c r="D42" s="1555"/>
      <c r="E42" s="1581" t="s">
        <v>1783</v>
      </c>
      <c r="F42" s="1567" t="s">
        <v>1784</v>
      </c>
      <c r="G42" s="1560" t="s">
        <v>1717</v>
      </c>
      <c r="H42" s="479"/>
      <c r="I42" s="479"/>
      <c r="J42" s="479"/>
      <c r="K42" s="479"/>
      <c r="L42" s="467"/>
      <c r="M42" s="1553"/>
      <c r="N42" s="1553"/>
      <c r="S42" s="1553"/>
      <c r="V42" s="468"/>
      <c r="AB42" s="1549"/>
      <c r="AC42" s="1549"/>
      <c r="AD42" s="1549"/>
      <c r="AE42" s="1549"/>
      <c r="AF42" s="1549"/>
    </row>
    <row r="43" spans="1:32" s="1284" customFormat="1" ht="33.75" customHeight="1">
      <c r="A43" s="899"/>
      <c r="C43" s="1553" t="s">
        <v>1738</v>
      </c>
      <c r="D43" s="1555"/>
      <c r="E43" s="1581" t="s">
        <v>111</v>
      </c>
      <c r="F43" s="622" t="s">
        <v>1487</v>
      </c>
      <c r="G43" s="1563" t="s">
        <v>1785</v>
      </c>
      <c r="H43" s="331"/>
      <c r="I43" s="331"/>
      <c r="J43" s="731"/>
      <c r="K43" s="731"/>
      <c r="L43" s="467"/>
      <c r="M43" s="1553"/>
      <c r="N43" s="1553"/>
      <c r="S43" s="1553"/>
      <c r="V43" s="468"/>
      <c r="AB43" s="1549"/>
      <c r="AC43" s="1549"/>
      <c r="AD43" s="1549"/>
      <c r="AE43" s="1549"/>
      <c r="AF43" s="1549"/>
    </row>
    <row r="44" spans="1:32" s="1284" customFormat="1" ht="22.5" customHeight="1">
      <c r="A44" s="899"/>
      <c r="C44" s="1553"/>
      <c r="D44" s="1555"/>
      <c r="E44" s="1581" t="s">
        <v>92</v>
      </c>
      <c r="F44" s="622" t="s">
        <v>1786</v>
      </c>
      <c r="G44" s="1560" t="s">
        <v>1787</v>
      </c>
      <c r="H44" s="469"/>
      <c r="I44" s="469"/>
      <c r="J44" s="469"/>
      <c r="K44" s="469"/>
      <c r="L44" s="467"/>
      <c r="M44" s="1553"/>
      <c r="N44" s="1553"/>
      <c r="S44" s="1553"/>
      <c r="V44" s="468"/>
      <c r="AB44" s="1549"/>
      <c r="AC44" s="1549"/>
      <c r="AD44" s="1549"/>
      <c r="AE44" s="1549"/>
      <c r="AF44" s="1549"/>
    </row>
    <row r="45" spans="1:32" s="1284" customFormat="1" ht="22.5" customHeight="1">
      <c r="A45" s="899"/>
      <c r="C45" s="1553"/>
      <c r="D45" s="1555"/>
      <c r="E45" s="1581" t="s">
        <v>93</v>
      </c>
      <c r="F45" s="622" t="s">
        <v>1788</v>
      </c>
      <c r="G45" s="1571" t="s">
        <v>1789</v>
      </c>
      <c r="H45" s="469"/>
      <c r="I45" s="469"/>
      <c r="J45" s="469"/>
      <c r="K45" s="469"/>
      <c r="L45" s="467"/>
      <c r="M45" s="1553"/>
      <c r="N45" s="1553"/>
      <c r="S45" s="1553"/>
      <c r="V45" s="468"/>
      <c r="AB45" s="1549"/>
      <c r="AC45" s="1549"/>
      <c r="AD45" s="1549"/>
      <c r="AE45" s="1549"/>
      <c r="AF45" s="1549"/>
    </row>
    <row r="46" spans="1:32" s="1284" customFormat="1" ht="18.75" customHeight="1">
      <c r="A46" s="899"/>
      <c r="C46" s="1553"/>
      <c r="D46" s="1555"/>
      <c r="E46" s="1581" t="s">
        <v>112</v>
      </c>
      <c r="F46" s="622" t="s">
        <v>1790</v>
      </c>
      <c r="G46" s="1560" t="s">
        <v>1740</v>
      </c>
      <c r="H46" s="498"/>
      <c r="I46" s="498"/>
      <c r="J46" s="498"/>
      <c r="K46" s="498"/>
      <c r="L46" s="467"/>
      <c r="M46" s="1553"/>
      <c r="N46" s="1553"/>
      <c r="S46" s="1553"/>
      <c r="V46" s="468"/>
      <c r="AB46" s="1549"/>
      <c r="AC46" s="1549"/>
      <c r="AD46" s="1549"/>
      <c r="AE46" s="1549"/>
      <c r="AF46" s="1549"/>
    </row>
    <row r="47" spans="1:32" ht="11.25" customHeight="1">
      <c r="D47" s="1555"/>
    </row>
    <row r="48" spans="1:32" ht="26.25" customHeight="1">
      <c r="D48" s="1555"/>
      <c r="E48" s="1166"/>
      <c r="F48" s="2075"/>
      <c r="G48" s="2075"/>
      <c r="H48" s="2075"/>
      <c r="I48" s="2075"/>
      <c r="J48" s="2075"/>
      <c r="K48" s="2075"/>
    </row>
    <row r="49" spans="1:32" s="1558" customFormat="1" ht="37.5" customHeight="1">
      <c r="A49" s="899"/>
      <c r="B49" s="1553"/>
      <c r="C49" s="1553"/>
      <c r="D49" s="272"/>
      <c r="F49" s="2075"/>
      <c r="G49" s="2075"/>
      <c r="H49" s="2075"/>
      <c r="I49" s="2075"/>
      <c r="J49" s="2075"/>
      <c r="K49" s="2075"/>
      <c r="L49" s="1062"/>
      <c r="M49" s="1553"/>
      <c r="N49" s="1553"/>
      <c r="O49" s="1062"/>
      <c r="P49" s="1062"/>
      <c r="Q49" s="1062"/>
      <c r="R49" s="1062"/>
      <c r="S49" s="1553"/>
      <c r="T49" s="1062"/>
      <c r="U49" s="1062"/>
      <c r="V49" s="468"/>
      <c r="W49" s="1062"/>
      <c r="X49" s="1062"/>
      <c r="Y49" s="1062"/>
      <c r="Z49" s="1062"/>
      <c r="AA49" s="1062"/>
      <c r="AB49" s="1549"/>
      <c r="AC49" s="487"/>
      <c r="AD49" s="487"/>
      <c r="AE49" s="487"/>
      <c r="AF49" s="487"/>
    </row>
    <row r="50" spans="1:32" s="1558" customFormat="1" ht="11.25" customHeight="1">
      <c r="A50" s="899"/>
      <c r="B50" s="1553"/>
      <c r="C50" s="1553"/>
      <c r="D50" s="272"/>
      <c r="L50" s="1062"/>
      <c r="M50" s="1553"/>
      <c r="N50" s="1553"/>
      <c r="O50" s="1062"/>
      <c r="P50" s="1062"/>
      <c r="Q50" s="1062"/>
      <c r="R50" s="1062"/>
      <c r="S50" s="1553"/>
      <c r="T50" s="1062"/>
      <c r="U50" s="1062"/>
      <c r="V50" s="468"/>
      <c r="W50" s="1062"/>
      <c r="X50" s="1062"/>
      <c r="Y50" s="1062"/>
      <c r="Z50" s="1062"/>
      <c r="AA50" s="1062"/>
      <c r="AB50" s="1549"/>
      <c r="AC50" s="487"/>
      <c r="AD50" s="487"/>
      <c r="AE50" s="487"/>
      <c r="AF50" s="487"/>
    </row>
    <row r="51" spans="1:32" s="1558" customFormat="1" ht="11.25" customHeight="1">
      <c r="A51" s="899"/>
      <c r="B51" s="1553"/>
      <c r="C51" s="1553"/>
      <c r="D51" s="272"/>
      <c r="L51" s="1062"/>
      <c r="M51" s="1553"/>
      <c r="N51" s="1553"/>
      <c r="O51" s="1062"/>
      <c r="P51" s="1062"/>
      <c r="Q51" s="1062"/>
      <c r="R51" s="1062"/>
      <c r="S51" s="1553"/>
      <c r="T51" s="1062"/>
      <c r="U51" s="1062"/>
      <c r="V51" s="468"/>
      <c r="W51" s="1062"/>
      <c r="X51" s="1062"/>
      <c r="Y51" s="1062"/>
      <c r="Z51" s="1062"/>
      <c r="AA51" s="1062"/>
      <c r="AB51" s="1549"/>
      <c r="AC51" s="487"/>
      <c r="AD51" s="487"/>
      <c r="AE51" s="487"/>
      <c r="AF51" s="487"/>
    </row>
    <row r="52" spans="1:32" s="1558" customFormat="1" ht="11.25" customHeight="1">
      <c r="A52" s="899"/>
      <c r="B52" s="1553"/>
      <c r="C52" s="1553"/>
      <c r="D52" s="272"/>
      <c r="H52" s="487"/>
      <c r="I52" s="487"/>
      <c r="J52" s="539"/>
      <c r="K52" s="539"/>
      <c r="L52" s="1062"/>
      <c r="M52" s="1553"/>
      <c r="N52" s="1553"/>
      <c r="O52" s="1062"/>
      <c r="P52" s="1062"/>
      <c r="Q52" s="1062"/>
      <c r="R52" s="1062"/>
      <c r="S52" s="1553"/>
      <c r="T52" s="1062"/>
      <c r="U52" s="1062"/>
      <c r="V52" s="468"/>
      <c r="W52" s="1062"/>
      <c r="X52" s="1062"/>
      <c r="Y52" s="1062"/>
      <c r="Z52" s="1062"/>
      <c r="AA52" s="1062"/>
      <c r="AB52" s="1549"/>
      <c r="AC52" s="487"/>
      <c r="AD52" s="487"/>
      <c r="AE52" s="487"/>
      <c r="AF52" s="487"/>
    </row>
    <row r="53" spans="1:32" s="1558" customFormat="1" ht="11.25" customHeight="1">
      <c r="A53" s="899"/>
      <c r="B53" s="1553"/>
      <c r="C53" s="1553"/>
      <c r="D53" s="272"/>
      <c r="L53" s="1062"/>
      <c r="M53" s="1553"/>
      <c r="N53" s="1553"/>
      <c r="O53" s="1062"/>
      <c r="P53" s="1062"/>
      <c r="Q53" s="1062"/>
      <c r="R53" s="1062"/>
      <c r="S53" s="1553"/>
      <c r="T53" s="1062"/>
      <c r="U53" s="1062"/>
      <c r="V53" s="468"/>
      <c r="W53" s="1062"/>
      <c r="X53" s="1062"/>
      <c r="Y53" s="1062"/>
      <c r="Z53" s="1062"/>
      <c r="AA53" s="1062"/>
      <c r="AB53" s="1549"/>
      <c r="AC53" s="487"/>
      <c r="AD53" s="487"/>
      <c r="AE53" s="487"/>
      <c r="AF53" s="487"/>
    </row>
    <row r="54" spans="1:32" s="1558" customFormat="1" ht="11.25" customHeight="1">
      <c r="A54" s="899"/>
      <c r="B54" s="1553"/>
      <c r="C54" s="1553"/>
      <c r="D54" s="272"/>
      <c r="L54" s="1062"/>
      <c r="M54" s="1553"/>
      <c r="N54" s="1553"/>
      <c r="O54" s="1062"/>
      <c r="P54" s="1062"/>
      <c r="Q54" s="1062"/>
      <c r="R54" s="1062"/>
      <c r="S54" s="1553"/>
      <c r="T54" s="1062"/>
      <c r="U54" s="1062"/>
      <c r="V54" s="468"/>
      <c r="W54" s="1062"/>
      <c r="X54" s="1062"/>
      <c r="Y54" s="1062"/>
      <c r="Z54" s="1062"/>
      <c r="AA54" s="1062"/>
      <c r="AB54" s="1549"/>
      <c r="AC54" s="487"/>
      <c r="AD54" s="487"/>
      <c r="AE54" s="487"/>
      <c r="AF54" s="487"/>
    </row>
    <row r="55" spans="1:32" s="1558" customFormat="1" ht="11.25" customHeight="1">
      <c r="A55" s="899"/>
      <c r="B55" s="1553"/>
      <c r="C55" s="1553"/>
      <c r="D55" s="272"/>
      <c r="L55" s="1062"/>
      <c r="M55" s="1553"/>
      <c r="N55" s="1553"/>
      <c r="O55" s="1062"/>
      <c r="P55" s="1062"/>
      <c r="Q55" s="1062"/>
      <c r="R55" s="1062"/>
      <c r="S55" s="1553"/>
      <c r="T55" s="1062"/>
      <c r="U55" s="1062"/>
      <c r="V55" s="468"/>
      <c r="W55" s="1062"/>
      <c r="X55" s="1062"/>
      <c r="Y55" s="1062"/>
      <c r="Z55" s="1062"/>
      <c r="AA55" s="1062"/>
      <c r="AB55" s="1549"/>
      <c r="AC55" s="487"/>
      <c r="AD55" s="487"/>
      <c r="AE55" s="487"/>
      <c r="AF55" s="487"/>
    </row>
    <row r="56" spans="1:32" s="1558" customFormat="1" ht="11.25" customHeight="1">
      <c r="A56" s="899"/>
      <c r="B56" s="1553"/>
      <c r="C56" s="1553"/>
      <c r="D56" s="272"/>
      <c r="L56" s="1062"/>
      <c r="M56" s="1553"/>
      <c r="N56" s="1553"/>
      <c r="O56" s="1062"/>
      <c r="P56" s="1062"/>
      <c r="Q56" s="1062"/>
      <c r="R56" s="1062"/>
      <c r="S56" s="1553"/>
      <c r="T56" s="1062"/>
      <c r="U56" s="1062"/>
      <c r="V56" s="468"/>
      <c r="W56" s="1062"/>
      <c r="X56" s="1062"/>
      <c r="Y56" s="1062"/>
      <c r="Z56" s="1062"/>
      <c r="AA56" s="1062"/>
      <c r="AB56" s="1549"/>
      <c r="AC56" s="487"/>
      <c r="AD56" s="487"/>
      <c r="AE56" s="487"/>
      <c r="AF56" s="487"/>
    </row>
    <row r="57" spans="1:32" s="1558" customFormat="1" ht="11.25" customHeight="1">
      <c r="A57" s="899"/>
      <c r="B57" s="1553"/>
      <c r="C57" s="1553"/>
      <c r="D57" s="272"/>
      <c r="L57" s="1062"/>
      <c r="M57" s="1553"/>
      <c r="N57" s="1553"/>
      <c r="O57" s="1062"/>
      <c r="P57" s="1062"/>
      <c r="Q57" s="1062"/>
      <c r="R57" s="1062"/>
      <c r="S57" s="1553"/>
      <c r="T57" s="1062"/>
      <c r="U57" s="1062"/>
      <c r="V57" s="468"/>
      <c r="W57" s="1062"/>
      <c r="X57" s="1062"/>
      <c r="Y57" s="1062"/>
      <c r="Z57" s="1062"/>
      <c r="AA57" s="1062"/>
      <c r="AB57" s="1549"/>
      <c r="AC57" s="487"/>
      <c r="AD57" s="487"/>
      <c r="AE57" s="487"/>
      <c r="AF57" s="487"/>
    </row>
    <row r="58" spans="1:32" s="1558" customFormat="1" ht="11.25" customHeight="1">
      <c r="A58" s="899"/>
      <c r="B58" s="1553"/>
      <c r="C58" s="1553"/>
      <c r="D58" s="272"/>
      <c r="L58" s="1062"/>
      <c r="M58" s="1553"/>
      <c r="N58" s="1553"/>
      <c r="O58" s="1062"/>
      <c r="P58" s="1062"/>
      <c r="Q58" s="1062"/>
      <c r="R58" s="1062"/>
      <c r="S58" s="1553"/>
      <c r="T58" s="1062"/>
      <c r="U58" s="1062"/>
      <c r="V58" s="468"/>
      <c r="W58" s="1062"/>
      <c r="X58" s="1062"/>
      <c r="Y58" s="1062"/>
      <c r="Z58" s="1062"/>
      <c r="AA58" s="1062"/>
      <c r="AB58" s="1549"/>
      <c r="AC58" s="487"/>
      <c r="AD58" s="487"/>
      <c r="AE58" s="487"/>
      <c r="AF58" s="487"/>
    </row>
    <row r="59" spans="1:32" s="1558" customFormat="1" ht="11.25" customHeight="1">
      <c r="A59" s="899"/>
      <c r="B59" s="1553"/>
      <c r="C59" s="1553"/>
      <c r="D59" s="272"/>
      <c r="L59" s="1062"/>
      <c r="M59" s="1553"/>
      <c r="N59" s="1553"/>
      <c r="O59" s="1062"/>
      <c r="P59" s="1062"/>
      <c r="Q59" s="1062"/>
      <c r="R59" s="1062"/>
      <c r="S59" s="1553"/>
      <c r="T59" s="1062"/>
      <c r="U59" s="1062"/>
      <c r="V59" s="468"/>
      <c r="W59" s="1062"/>
      <c r="X59" s="1062"/>
      <c r="Y59" s="1062"/>
      <c r="Z59" s="1062"/>
      <c r="AA59" s="1062"/>
      <c r="AB59" s="1549"/>
      <c r="AC59" s="487"/>
      <c r="AD59" s="487"/>
      <c r="AE59" s="487"/>
      <c r="AF59" s="487"/>
    </row>
    <row r="60" spans="1:32" s="1558" customFormat="1" ht="11.25" customHeight="1">
      <c r="A60" s="899"/>
      <c r="B60" s="1553"/>
      <c r="C60" s="1553"/>
      <c r="D60" s="272"/>
      <c r="L60" s="1062"/>
      <c r="M60" s="1553"/>
      <c r="N60" s="1553"/>
      <c r="O60" s="1062"/>
      <c r="P60" s="1062"/>
      <c r="Q60" s="1062"/>
      <c r="R60" s="1062"/>
      <c r="S60" s="1553"/>
      <c r="T60" s="1062"/>
      <c r="U60" s="1062"/>
      <c r="V60" s="468"/>
      <c r="W60" s="1062"/>
      <c r="X60" s="1062"/>
      <c r="Y60" s="1062"/>
      <c r="Z60" s="1062"/>
      <c r="AA60" s="1062"/>
      <c r="AB60" s="1549"/>
      <c r="AC60" s="487"/>
      <c r="AD60" s="487"/>
      <c r="AE60" s="487"/>
      <c r="AF60" s="487"/>
    </row>
    <row r="61" spans="1:32" s="1558" customFormat="1" ht="11.25" customHeight="1">
      <c r="A61" s="899"/>
      <c r="B61" s="1553"/>
      <c r="C61" s="1553"/>
      <c r="D61" s="272"/>
      <c r="L61" s="1062"/>
      <c r="M61" s="1553"/>
      <c r="N61" s="1553"/>
      <c r="O61" s="1062"/>
      <c r="P61" s="1062"/>
      <c r="Q61" s="1062"/>
      <c r="R61" s="1062"/>
      <c r="S61" s="1553"/>
      <c r="T61" s="1062"/>
      <c r="U61" s="1062"/>
      <c r="V61" s="468"/>
      <c r="W61" s="1062"/>
      <c r="X61" s="1062"/>
      <c r="Y61" s="1062"/>
      <c r="Z61" s="1062"/>
      <c r="AA61" s="1062"/>
      <c r="AB61" s="1549"/>
      <c r="AC61" s="487"/>
      <c r="AD61" s="487"/>
      <c r="AE61" s="487"/>
      <c r="AF61" s="487"/>
    </row>
    <row r="62" spans="1:32" s="1558" customFormat="1" ht="11.25" customHeight="1">
      <c r="A62" s="899"/>
      <c r="B62" s="1553"/>
      <c r="C62" s="1553"/>
      <c r="D62" s="272"/>
      <c r="L62" s="1062"/>
      <c r="M62" s="1553"/>
      <c r="N62" s="1553"/>
      <c r="O62" s="1062"/>
      <c r="P62" s="1062"/>
      <c r="Q62" s="1062"/>
      <c r="R62" s="1062"/>
      <c r="S62" s="1553"/>
      <c r="T62" s="1062"/>
      <c r="U62" s="1062"/>
      <c r="V62" s="468"/>
      <c r="W62" s="1062"/>
      <c r="X62" s="1062"/>
      <c r="Y62" s="1062"/>
      <c r="Z62" s="1062"/>
      <c r="AA62" s="1062"/>
      <c r="AB62" s="1549"/>
      <c r="AC62" s="487"/>
      <c r="AD62" s="487"/>
      <c r="AE62" s="487"/>
      <c r="AF62" s="487"/>
    </row>
    <row r="63" spans="1:32" s="1558" customFormat="1" ht="11.25" customHeight="1">
      <c r="A63" s="899"/>
      <c r="B63" s="1553"/>
      <c r="C63" s="1553"/>
      <c r="D63" s="272"/>
      <c r="L63" s="1062"/>
      <c r="M63" s="1553"/>
      <c r="N63" s="1553"/>
      <c r="O63" s="1062"/>
      <c r="P63" s="1062"/>
      <c r="Q63" s="1062"/>
      <c r="R63" s="1062"/>
      <c r="S63" s="1553"/>
      <c r="T63" s="1062"/>
      <c r="U63" s="1062"/>
      <c r="V63" s="468"/>
      <c r="W63" s="1062"/>
      <c r="X63" s="1062"/>
      <c r="Y63" s="1062"/>
      <c r="Z63" s="1062"/>
      <c r="AA63" s="1062"/>
      <c r="AB63" s="1549"/>
      <c r="AC63" s="487"/>
      <c r="AD63" s="487"/>
      <c r="AE63" s="487"/>
      <c r="AF63" s="487"/>
    </row>
    <row r="64" spans="1:32" s="1558" customFormat="1" ht="11.25" customHeight="1">
      <c r="A64" s="899"/>
      <c r="B64" s="1553"/>
      <c r="C64" s="1553"/>
      <c r="D64" s="272"/>
      <c r="L64" s="1062"/>
      <c r="M64" s="1553"/>
      <c r="N64" s="1553"/>
      <c r="O64" s="1062"/>
      <c r="P64" s="1062"/>
      <c r="Q64" s="1062"/>
      <c r="R64" s="1062"/>
      <c r="S64" s="1553"/>
      <c r="T64" s="1062"/>
      <c r="U64" s="1062"/>
      <c r="V64" s="468"/>
      <c r="W64" s="1062"/>
      <c r="X64" s="1062"/>
      <c r="Y64" s="1062"/>
      <c r="Z64" s="1062"/>
      <c r="AA64" s="1062"/>
      <c r="AB64" s="1549"/>
      <c r="AC64" s="487"/>
      <c r="AD64" s="487"/>
      <c r="AE64" s="487"/>
      <c r="AF64" s="487"/>
    </row>
    <row r="65" spans="1:32" s="1558" customFormat="1" ht="11.25" customHeight="1">
      <c r="A65" s="899"/>
      <c r="B65" s="1553"/>
      <c r="C65" s="1553"/>
      <c r="D65" s="272"/>
      <c r="L65" s="1062"/>
      <c r="M65" s="1553"/>
      <c r="N65" s="1553"/>
      <c r="O65" s="1062"/>
      <c r="P65" s="1062"/>
      <c r="Q65" s="1062"/>
      <c r="R65" s="1062"/>
      <c r="S65" s="1553"/>
      <c r="T65" s="1062"/>
      <c r="U65" s="1062"/>
      <c r="V65" s="468"/>
      <c r="W65" s="1062"/>
      <c r="X65" s="1062"/>
      <c r="Y65" s="1062"/>
      <c r="Z65" s="1062"/>
      <c r="AA65" s="1062"/>
      <c r="AB65" s="1549"/>
      <c r="AC65" s="487"/>
      <c r="AD65" s="487"/>
      <c r="AE65" s="487"/>
      <c r="AF65" s="487"/>
    </row>
    <row r="66" spans="1:32" s="1558" customFormat="1" ht="11.25" customHeight="1">
      <c r="A66" s="899"/>
      <c r="B66" s="1553"/>
      <c r="C66" s="1553"/>
      <c r="D66" s="272"/>
      <c r="L66" s="1062"/>
      <c r="M66" s="1553"/>
      <c r="N66" s="1553"/>
      <c r="O66" s="1062"/>
      <c r="P66" s="1062"/>
      <c r="Q66" s="1062"/>
      <c r="R66" s="1062"/>
      <c r="S66" s="1553"/>
      <c r="T66" s="1062"/>
      <c r="U66" s="1062"/>
      <c r="V66" s="468"/>
      <c r="W66" s="1062"/>
      <c r="X66" s="1062"/>
      <c r="Y66" s="1062"/>
      <c r="Z66" s="1062"/>
      <c r="AA66" s="1062"/>
      <c r="AB66" s="1549"/>
      <c r="AC66" s="487"/>
      <c r="AD66" s="487"/>
      <c r="AE66" s="487"/>
      <c r="AF66" s="487"/>
    </row>
    <row r="67" spans="1:32" s="1558" customFormat="1" ht="11.25" customHeight="1">
      <c r="A67" s="899"/>
      <c r="B67" s="1553"/>
      <c r="C67" s="1553"/>
      <c r="D67" s="272"/>
      <c r="L67" s="1062"/>
      <c r="M67" s="1553"/>
      <c r="N67" s="1553"/>
      <c r="O67" s="1062"/>
      <c r="P67" s="1062"/>
      <c r="Q67" s="1062"/>
      <c r="R67" s="1062"/>
      <c r="S67" s="1553"/>
      <c r="T67" s="1062"/>
      <c r="U67" s="1062"/>
      <c r="V67" s="468"/>
      <c r="W67" s="1062"/>
      <c r="X67" s="1062"/>
      <c r="Y67" s="1062"/>
      <c r="Z67" s="1062"/>
      <c r="AA67" s="1062"/>
      <c r="AB67" s="1549"/>
      <c r="AC67" s="487"/>
      <c r="AD67" s="487"/>
      <c r="AE67" s="487"/>
      <c r="AF67" s="487"/>
    </row>
    <row r="68" spans="1:32" s="1558" customFormat="1" ht="11.25" customHeight="1">
      <c r="A68" s="899"/>
      <c r="B68" s="1553"/>
      <c r="C68" s="1553"/>
      <c r="D68" s="272"/>
      <c r="L68" s="1062"/>
      <c r="M68" s="1553"/>
      <c r="N68" s="1553"/>
      <c r="O68" s="1062"/>
      <c r="P68" s="1062"/>
      <c r="Q68" s="1062"/>
      <c r="R68" s="1062"/>
      <c r="S68" s="1553"/>
      <c r="T68" s="1062"/>
      <c r="U68" s="1062"/>
      <c r="V68" s="468"/>
      <c r="W68" s="1062"/>
      <c r="X68" s="1062"/>
      <c r="Y68" s="1062"/>
      <c r="Z68" s="1062"/>
      <c r="AA68" s="1062"/>
      <c r="AB68" s="1549"/>
      <c r="AC68" s="487"/>
      <c r="AD68" s="487"/>
      <c r="AE68" s="487"/>
      <c r="AF68" s="487"/>
    </row>
    <row r="69" spans="1:32" s="1558" customFormat="1" ht="11.25" customHeight="1">
      <c r="A69" s="899"/>
      <c r="B69" s="1553"/>
      <c r="C69" s="1553"/>
      <c r="D69" s="272"/>
      <c r="L69" s="1062"/>
      <c r="M69" s="1553"/>
      <c r="N69" s="1553"/>
      <c r="O69" s="1062"/>
      <c r="P69" s="1062"/>
      <c r="Q69" s="1062"/>
      <c r="R69" s="1062"/>
      <c r="S69" s="1553"/>
      <c r="T69" s="1062"/>
      <c r="U69" s="1062"/>
      <c r="V69" s="468"/>
      <c r="W69" s="1062"/>
      <c r="X69" s="1062"/>
      <c r="Y69" s="1062"/>
      <c r="Z69" s="1062"/>
      <c r="AA69" s="1062"/>
      <c r="AB69" s="1549"/>
      <c r="AC69" s="487"/>
      <c r="AD69" s="487"/>
      <c r="AE69" s="487"/>
      <c r="AF69" s="487"/>
    </row>
    <row r="70" spans="1:32" s="1558" customFormat="1" ht="11.25" customHeight="1">
      <c r="A70" s="899"/>
      <c r="B70" s="1553"/>
      <c r="C70" s="1553"/>
      <c r="D70" s="272"/>
      <c r="L70" s="1062"/>
      <c r="M70" s="1553"/>
      <c r="N70" s="1553"/>
      <c r="O70" s="1062"/>
      <c r="P70" s="1062"/>
      <c r="Q70" s="1062"/>
      <c r="R70" s="1062"/>
      <c r="S70" s="1553"/>
      <c r="T70" s="1062"/>
      <c r="U70" s="1062"/>
      <c r="V70" s="468"/>
      <c r="W70" s="1062"/>
      <c r="X70" s="1062"/>
      <c r="Y70" s="1062"/>
      <c r="Z70" s="1062"/>
      <c r="AA70" s="1062"/>
      <c r="AB70" s="1549"/>
      <c r="AC70" s="487"/>
      <c r="AD70" s="487"/>
      <c r="AE70" s="487"/>
      <c r="AF70" s="487"/>
    </row>
    <row r="71" spans="1:32" s="1558" customFormat="1" ht="11.25" customHeight="1">
      <c r="A71" s="899"/>
      <c r="B71" s="1553"/>
      <c r="C71" s="1553"/>
      <c r="D71" s="272"/>
      <c r="L71" s="1062"/>
      <c r="M71" s="1553"/>
      <c r="N71" s="1553"/>
      <c r="O71" s="1062"/>
      <c r="P71" s="1062"/>
      <c r="Q71" s="1062"/>
      <c r="R71" s="1062"/>
      <c r="S71" s="1553"/>
      <c r="T71" s="1062"/>
      <c r="U71" s="1062"/>
      <c r="V71" s="468"/>
      <c r="W71" s="1062"/>
      <c r="X71" s="1062"/>
      <c r="Y71" s="1062"/>
      <c r="Z71" s="1062"/>
      <c r="AA71" s="1062"/>
      <c r="AB71" s="1549"/>
      <c r="AC71" s="487"/>
      <c r="AD71" s="487"/>
      <c r="AE71" s="487"/>
      <c r="AF71" s="487"/>
    </row>
    <row r="72" spans="1:32" s="1558" customFormat="1" ht="11.25" customHeight="1">
      <c r="A72" s="899"/>
      <c r="B72" s="1553"/>
      <c r="C72" s="1553"/>
      <c r="D72" s="272"/>
      <c r="L72" s="1062"/>
      <c r="M72" s="1553"/>
      <c r="N72" s="1553"/>
      <c r="O72" s="1062"/>
      <c r="P72" s="1062"/>
      <c r="Q72" s="1062"/>
      <c r="R72" s="1062"/>
      <c r="S72" s="1553"/>
      <c r="T72" s="1062"/>
      <c r="U72" s="1062"/>
      <c r="V72" s="468"/>
      <c r="W72" s="1062"/>
      <c r="X72" s="1062"/>
      <c r="Y72" s="1062"/>
      <c r="Z72" s="1062"/>
      <c r="AA72" s="1062"/>
      <c r="AB72" s="1549"/>
      <c r="AC72" s="487"/>
      <c r="AD72" s="487"/>
      <c r="AE72" s="487"/>
      <c r="AF72" s="487"/>
    </row>
    <row r="73" spans="1:32" s="1558" customFormat="1" ht="11.25" customHeight="1">
      <c r="A73" s="899"/>
      <c r="B73" s="1553"/>
      <c r="C73" s="1553"/>
      <c r="D73" s="272"/>
      <c r="L73" s="1062"/>
      <c r="M73" s="1553"/>
      <c r="N73" s="1553"/>
      <c r="O73" s="1062"/>
      <c r="P73" s="1062"/>
      <c r="Q73" s="1062"/>
      <c r="R73" s="1062"/>
      <c r="S73" s="1553"/>
      <c r="T73" s="1062"/>
      <c r="U73" s="1062"/>
      <c r="V73" s="468"/>
      <c r="W73" s="1062"/>
      <c r="X73" s="1062"/>
      <c r="Y73" s="1062"/>
      <c r="Z73" s="1062"/>
      <c r="AA73" s="1062"/>
      <c r="AB73" s="1549"/>
      <c r="AC73" s="487"/>
      <c r="AD73" s="487"/>
      <c r="AE73" s="487"/>
      <c r="AF73" s="487"/>
    </row>
    <row r="74" spans="1:32" s="1558" customFormat="1" ht="11.25" customHeight="1">
      <c r="A74" s="899"/>
      <c r="B74" s="1553"/>
      <c r="C74" s="1553"/>
      <c r="D74" s="272"/>
      <c r="L74" s="1062"/>
      <c r="M74" s="1553"/>
      <c r="N74" s="1553"/>
      <c r="O74" s="1062"/>
      <c r="P74" s="1062"/>
      <c r="Q74" s="1062"/>
      <c r="R74" s="1062"/>
      <c r="S74" s="1553"/>
      <c r="T74" s="1062"/>
      <c r="U74" s="1062"/>
      <c r="V74" s="468"/>
      <c r="W74" s="1062"/>
      <c r="X74" s="1062"/>
      <c r="Y74" s="1062"/>
      <c r="Z74" s="1062"/>
      <c r="AA74" s="1062"/>
      <c r="AB74" s="1549"/>
      <c r="AC74" s="487"/>
      <c r="AD74" s="487"/>
      <c r="AE74" s="487"/>
      <c r="AF74" s="487"/>
    </row>
    <row r="75" spans="1:32" s="1558" customFormat="1" ht="11.25" customHeight="1">
      <c r="A75" s="899"/>
      <c r="B75" s="1553"/>
      <c r="C75" s="1553"/>
      <c r="D75" s="272"/>
      <c r="L75" s="1062"/>
      <c r="M75" s="1553"/>
      <c r="N75" s="1553"/>
      <c r="O75" s="1062"/>
      <c r="P75" s="1062"/>
      <c r="Q75" s="1062"/>
      <c r="R75" s="1062"/>
      <c r="S75" s="1553"/>
      <c r="T75" s="1062"/>
      <c r="U75" s="1062"/>
      <c r="V75" s="468"/>
      <c r="W75" s="1062"/>
      <c r="X75" s="1062"/>
      <c r="Y75" s="1062"/>
      <c r="Z75" s="1062"/>
      <c r="AA75" s="1062"/>
      <c r="AB75" s="1549"/>
      <c r="AC75" s="487"/>
      <c r="AD75" s="487"/>
      <c r="AE75" s="487"/>
      <c r="AF75" s="487"/>
    </row>
    <row r="76" spans="1:32" s="1558" customFormat="1" ht="11.25" customHeight="1">
      <c r="A76" s="899"/>
      <c r="B76" s="1553"/>
      <c r="C76" s="1553"/>
      <c r="D76" s="272"/>
      <c r="L76" s="1062"/>
      <c r="M76" s="1553"/>
      <c r="N76" s="1553"/>
      <c r="O76" s="1062"/>
      <c r="P76" s="1062"/>
      <c r="Q76" s="1062"/>
      <c r="R76" s="1062"/>
      <c r="S76" s="1553"/>
      <c r="T76" s="1062"/>
      <c r="U76" s="1062"/>
      <c r="V76" s="468"/>
      <c r="W76" s="1062"/>
      <c r="X76" s="1062"/>
      <c r="Y76" s="1062"/>
      <c r="Z76" s="1062"/>
      <c r="AA76" s="1062"/>
      <c r="AB76" s="1549"/>
      <c r="AC76" s="487"/>
      <c r="AD76" s="487"/>
      <c r="AE76" s="487"/>
      <c r="AF76" s="487"/>
    </row>
    <row r="77" spans="1:32" s="1558" customFormat="1" ht="11.25" customHeight="1">
      <c r="A77" s="899"/>
      <c r="B77" s="1553"/>
      <c r="C77" s="1553"/>
      <c r="D77" s="272"/>
      <c r="L77" s="1062"/>
      <c r="M77" s="1553"/>
      <c r="N77" s="1553"/>
      <c r="O77" s="1062"/>
      <c r="P77" s="1062"/>
      <c r="Q77" s="1062"/>
      <c r="R77" s="1062"/>
      <c r="S77" s="1553"/>
      <c r="T77" s="1062"/>
      <c r="U77" s="1062"/>
      <c r="V77" s="468"/>
      <c r="W77" s="1062"/>
      <c r="X77" s="1062"/>
      <c r="Y77" s="1062"/>
      <c r="Z77" s="1062"/>
      <c r="AA77" s="1062"/>
      <c r="AB77" s="1549"/>
      <c r="AC77" s="487"/>
      <c r="AD77" s="487"/>
      <c r="AE77" s="487"/>
      <c r="AF77" s="487"/>
    </row>
    <row r="78" spans="1:32" s="1558" customFormat="1" ht="11.25" customHeight="1">
      <c r="A78" s="899"/>
      <c r="B78" s="1553"/>
      <c r="C78" s="1553"/>
      <c r="D78" s="272"/>
      <c r="L78" s="1062"/>
      <c r="M78" s="1553"/>
      <c r="N78" s="1553"/>
      <c r="O78" s="1062"/>
      <c r="P78" s="1062"/>
      <c r="Q78" s="1062"/>
      <c r="R78" s="1062"/>
      <c r="S78" s="1553"/>
      <c r="T78" s="1062"/>
      <c r="U78" s="1062"/>
      <c r="V78" s="468"/>
      <c r="W78" s="1062"/>
      <c r="X78" s="1062"/>
      <c r="Y78" s="1062"/>
      <c r="Z78" s="1062"/>
      <c r="AA78" s="1062"/>
      <c r="AB78" s="1549"/>
      <c r="AC78" s="487"/>
      <c r="AD78" s="487"/>
      <c r="AE78" s="487"/>
      <c r="AF78" s="487"/>
    </row>
    <row r="79" spans="1:32" s="1558" customFormat="1" ht="11.25" customHeight="1">
      <c r="A79" s="899"/>
      <c r="B79" s="1553"/>
      <c r="C79" s="1553"/>
      <c r="D79" s="272"/>
      <c r="L79" s="1062"/>
      <c r="M79" s="1553"/>
      <c r="N79" s="1553"/>
      <c r="O79" s="1062"/>
      <c r="P79" s="1062"/>
      <c r="Q79" s="1062"/>
      <c r="R79" s="1062"/>
      <c r="S79" s="1553"/>
      <c r="T79" s="1062"/>
      <c r="U79" s="1062"/>
      <c r="V79" s="468"/>
      <c r="W79" s="1062"/>
      <c r="X79" s="1062"/>
      <c r="Y79" s="1062"/>
      <c r="Z79" s="1062"/>
      <c r="AA79" s="1062"/>
      <c r="AB79" s="1549"/>
      <c r="AC79" s="487"/>
      <c r="AD79" s="487"/>
      <c r="AE79" s="487"/>
      <c r="AF79" s="487"/>
    </row>
    <row r="80" spans="1:32" s="1558" customFormat="1" ht="11.25" customHeight="1">
      <c r="A80" s="899"/>
      <c r="B80" s="1553"/>
      <c r="C80" s="1553"/>
      <c r="D80" s="272"/>
      <c r="L80" s="1062"/>
      <c r="M80" s="1553"/>
      <c r="N80" s="1553"/>
      <c r="O80" s="1062"/>
      <c r="P80" s="1062"/>
      <c r="Q80" s="1062"/>
      <c r="R80" s="1062"/>
      <c r="S80" s="1553"/>
      <c r="T80" s="1062"/>
      <c r="U80" s="1062"/>
      <c r="V80" s="468"/>
      <c r="W80" s="1062"/>
      <c r="X80" s="1062"/>
      <c r="Y80" s="1062"/>
      <c r="Z80" s="1062"/>
      <c r="AA80" s="1062"/>
      <c r="AB80" s="1549"/>
      <c r="AC80" s="487"/>
      <c r="AD80" s="487"/>
      <c r="AE80" s="487"/>
      <c r="AF80" s="487"/>
    </row>
    <row r="81" spans="1:32" s="1558" customFormat="1" ht="11.25" customHeight="1">
      <c r="A81" s="899"/>
      <c r="B81" s="1553"/>
      <c r="C81" s="1553"/>
      <c r="D81" s="272"/>
      <c r="L81" s="1062"/>
      <c r="M81" s="1553"/>
      <c r="N81" s="1553"/>
      <c r="O81" s="1062"/>
      <c r="P81" s="1062"/>
      <c r="Q81" s="1062"/>
      <c r="R81" s="1062"/>
      <c r="S81" s="1553"/>
      <c r="T81" s="1062"/>
      <c r="U81" s="1062"/>
      <c r="V81" s="468"/>
      <c r="W81" s="1062"/>
      <c r="X81" s="1062"/>
      <c r="Y81" s="1062"/>
      <c r="Z81" s="1062"/>
      <c r="AA81" s="1062"/>
      <c r="AB81" s="1549"/>
      <c r="AC81" s="487"/>
      <c r="AD81" s="487"/>
      <c r="AE81" s="487"/>
      <c r="AF81" s="487"/>
    </row>
    <row r="82" spans="1:32" s="1558" customFormat="1" ht="11.25" customHeight="1">
      <c r="A82" s="899"/>
      <c r="B82" s="1553"/>
      <c r="C82" s="1553"/>
      <c r="D82" s="272"/>
      <c r="L82" s="1062"/>
      <c r="M82" s="1553"/>
      <c r="N82" s="1553"/>
      <c r="O82" s="1062"/>
      <c r="P82" s="1062"/>
      <c r="Q82" s="1062"/>
      <c r="R82" s="1062"/>
      <c r="S82" s="1553"/>
      <c r="T82" s="1062"/>
      <c r="U82" s="1062"/>
      <c r="V82" s="468"/>
      <c r="W82" s="1062"/>
      <c r="X82" s="1062"/>
      <c r="Y82" s="1062"/>
      <c r="Z82" s="1062"/>
      <c r="AA82" s="1062"/>
      <c r="AB82" s="1549"/>
      <c r="AC82" s="487"/>
      <c r="AD82" s="487"/>
      <c r="AE82" s="487"/>
      <c r="AF82" s="487"/>
    </row>
    <row r="83" spans="1:32" s="1558" customFormat="1" ht="11.25" customHeight="1">
      <c r="A83" s="899"/>
      <c r="B83" s="1553"/>
      <c r="C83" s="1553"/>
      <c r="D83" s="272"/>
      <c r="L83" s="1062"/>
      <c r="M83" s="1553"/>
      <c r="N83" s="1553"/>
      <c r="O83" s="1062"/>
      <c r="P83" s="1062"/>
      <c r="Q83" s="1062"/>
      <c r="R83" s="1062"/>
      <c r="S83" s="1553"/>
      <c r="T83" s="1062"/>
      <c r="U83" s="1062"/>
      <c r="V83" s="468"/>
      <c r="W83" s="1062"/>
      <c r="X83" s="1062"/>
      <c r="Y83" s="1062"/>
      <c r="Z83" s="1062"/>
      <c r="AA83" s="1062"/>
      <c r="AB83" s="1549"/>
      <c r="AC83" s="487"/>
      <c r="AD83" s="487"/>
      <c r="AE83" s="487"/>
      <c r="AF83" s="487"/>
    </row>
    <row r="84" spans="1:32" s="1558" customFormat="1" ht="11.25" customHeight="1">
      <c r="A84" s="899"/>
      <c r="B84" s="1553"/>
      <c r="C84" s="1553"/>
      <c r="D84" s="272"/>
      <c r="L84" s="1062"/>
      <c r="M84" s="1553"/>
      <c r="N84" s="1553"/>
      <c r="O84" s="1062"/>
      <c r="P84" s="1062"/>
      <c r="Q84" s="1062"/>
      <c r="R84" s="1062"/>
      <c r="S84" s="1553"/>
      <c r="T84" s="1062"/>
      <c r="U84" s="1062"/>
      <c r="V84" s="468"/>
      <c r="W84" s="1062"/>
      <c r="X84" s="1062"/>
      <c r="Y84" s="1062"/>
      <c r="Z84" s="1062"/>
      <c r="AA84" s="1062"/>
      <c r="AB84" s="1549"/>
      <c r="AC84" s="487"/>
      <c r="AD84" s="487"/>
      <c r="AE84" s="487"/>
      <c r="AF84" s="487"/>
    </row>
    <row r="85" spans="1:32" s="1558" customFormat="1" ht="11.25" customHeight="1">
      <c r="A85" s="899"/>
      <c r="B85" s="1553"/>
      <c r="C85" s="1553"/>
      <c r="D85" s="272"/>
      <c r="L85" s="1062"/>
      <c r="M85" s="1553"/>
      <c r="N85" s="1553"/>
      <c r="O85" s="1062"/>
      <c r="P85" s="1062"/>
      <c r="Q85" s="1062"/>
      <c r="R85" s="1062"/>
      <c r="S85" s="1553"/>
      <c r="T85" s="1062"/>
      <c r="U85" s="1062"/>
      <c r="V85" s="468"/>
      <c r="W85" s="1062"/>
      <c r="X85" s="1062"/>
      <c r="Y85" s="1062"/>
      <c r="Z85" s="1062"/>
      <c r="AA85" s="1062"/>
      <c r="AB85" s="1549"/>
      <c r="AC85" s="487"/>
      <c r="AD85" s="487"/>
      <c r="AE85" s="487"/>
      <c r="AF85" s="487"/>
    </row>
    <row r="86" spans="1:32" s="1558" customFormat="1" ht="11.25" customHeight="1">
      <c r="A86" s="899"/>
      <c r="B86" s="1553"/>
      <c r="C86" s="1553"/>
      <c r="D86" s="272"/>
      <c r="L86" s="1062"/>
      <c r="M86" s="1553"/>
      <c r="N86" s="1553"/>
      <c r="O86" s="1062"/>
      <c r="P86" s="1062"/>
      <c r="Q86" s="1062"/>
      <c r="R86" s="1062"/>
      <c r="S86" s="1553"/>
      <c r="T86" s="1062"/>
      <c r="U86" s="1062"/>
      <c r="V86" s="468"/>
      <c r="W86" s="1062"/>
      <c r="X86" s="1062"/>
      <c r="Y86" s="1062"/>
      <c r="Z86" s="1062"/>
      <c r="AA86" s="1062"/>
      <c r="AB86" s="1549"/>
      <c r="AC86" s="487"/>
      <c r="AD86" s="487"/>
      <c r="AE86" s="487"/>
      <c r="AF86" s="487"/>
    </row>
    <row r="87" spans="1:32" s="1558" customFormat="1" ht="11.25" customHeight="1">
      <c r="A87" s="899"/>
      <c r="B87" s="1553"/>
      <c r="C87" s="1553"/>
      <c r="D87" s="272"/>
      <c r="L87" s="1062"/>
      <c r="M87" s="1553"/>
      <c r="N87" s="1553"/>
      <c r="O87" s="1062"/>
      <c r="P87" s="1062"/>
      <c r="Q87" s="1062"/>
      <c r="R87" s="1062"/>
      <c r="S87" s="1553"/>
      <c r="T87" s="1062"/>
      <c r="U87" s="1062"/>
      <c r="V87" s="468"/>
      <c r="W87" s="1062"/>
      <c r="X87" s="1062"/>
      <c r="Y87" s="1062"/>
      <c r="Z87" s="1062"/>
      <c r="AA87" s="1062"/>
      <c r="AB87" s="1549"/>
      <c r="AC87" s="487"/>
      <c r="AD87" s="487"/>
      <c r="AE87" s="487"/>
      <c r="AF87" s="487"/>
    </row>
    <row r="88" spans="1:32" s="1558" customFormat="1" ht="11.25" customHeight="1">
      <c r="A88" s="899"/>
      <c r="B88" s="1553"/>
      <c r="C88" s="1553"/>
      <c r="D88" s="272"/>
      <c r="L88" s="1062"/>
      <c r="M88" s="1553"/>
      <c r="N88" s="1553"/>
      <c r="O88" s="1062"/>
      <c r="P88" s="1062"/>
      <c r="Q88" s="1062"/>
      <c r="R88" s="1062"/>
      <c r="S88" s="1553"/>
      <c r="T88" s="1062"/>
      <c r="U88" s="1062"/>
      <c r="V88" s="468"/>
      <c r="W88" s="1062"/>
      <c r="X88" s="1062"/>
      <c r="Y88" s="1062"/>
      <c r="Z88" s="1062"/>
      <c r="AA88" s="1062"/>
      <c r="AB88" s="1549"/>
      <c r="AC88" s="487"/>
      <c r="AD88" s="487"/>
      <c r="AE88" s="487"/>
      <c r="AF88" s="487"/>
    </row>
    <row r="89" spans="1:32" s="1558" customFormat="1" ht="11.25" customHeight="1">
      <c r="A89" s="899"/>
      <c r="B89" s="1553"/>
      <c r="C89" s="1553"/>
      <c r="D89" s="272"/>
      <c r="L89" s="1062"/>
      <c r="M89" s="1553"/>
      <c r="N89" s="1553"/>
      <c r="O89" s="1062"/>
      <c r="P89" s="1062"/>
      <c r="Q89" s="1062"/>
      <c r="R89" s="1062"/>
      <c r="S89" s="1553"/>
      <c r="T89" s="1062"/>
      <c r="U89" s="1062"/>
      <c r="V89" s="468"/>
      <c r="W89" s="1062"/>
      <c r="X89" s="1062"/>
      <c r="Y89" s="1062"/>
      <c r="Z89" s="1062"/>
      <c r="AA89" s="1062"/>
      <c r="AB89" s="1549"/>
      <c r="AC89" s="487"/>
      <c r="AD89" s="487"/>
      <c r="AE89" s="487"/>
      <c r="AF89" s="487"/>
    </row>
    <row r="90" spans="1:32" s="1558" customFormat="1" ht="11.25" customHeight="1">
      <c r="A90" s="899"/>
      <c r="B90" s="1553"/>
      <c r="C90" s="1553"/>
      <c r="D90" s="272"/>
      <c r="L90" s="1062"/>
      <c r="M90" s="1553"/>
      <c r="N90" s="1553"/>
      <c r="O90" s="1062"/>
      <c r="P90" s="1062"/>
      <c r="Q90" s="1062"/>
      <c r="R90" s="1062"/>
      <c r="S90" s="1553"/>
      <c r="T90" s="1062"/>
      <c r="U90" s="1062"/>
      <c r="V90" s="468"/>
      <c r="W90" s="1062"/>
      <c r="X90" s="1062"/>
      <c r="Y90" s="1062"/>
      <c r="Z90" s="1062"/>
      <c r="AA90" s="1062"/>
      <c r="AB90" s="1549"/>
      <c r="AC90" s="487"/>
      <c r="AD90" s="487"/>
      <c r="AE90" s="487"/>
      <c r="AF90" s="487"/>
    </row>
    <row r="91" spans="1:32" s="1558" customFormat="1" ht="11.25" customHeight="1">
      <c r="A91" s="899"/>
      <c r="B91" s="1553"/>
      <c r="C91" s="1553"/>
      <c r="D91" s="272"/>
      <c r="L91" s="1062"/>
      <c r="M91" s="1553"/>
      <c r="N91" s="1553"/>
      <c r="O91" s="1062"/>
      <c r="P91" s="1062"/>
      <c r="Q91" s="1062"/>
      <c r="R91" s="1062"/>
      <c r="S91" s="1553"/>
      <c r="T91" s="1062"/>
      <c r="U91" s="1062"/>
      <c r="V91" s="468"/>
      <c r="W91" s="1062"/>
      <c r="X91" s="1062"/>
      <c r="Y91" s="1062"/>
      <c r="Z91" s="1062"/>
      <c r="AA91" s="1062"/>
      <c r="AB91" s="1549"/>
      <c r="AC91" s="487"/>
      <c r="AD91" s="487"/>
      <c r="AE91" s="487"/>
      <c r="AF91" s="487"/>
    </row>
    <row r="92" spans="1:32" s="1558" customFormat="1" ht="11.25" customHeight="1">
      <c r="A92" s="899"/>
      <c r="B92" s="1553"/>
      <c r="C92" s="1553"/>
      <c r="D92" s="272"/>
      <c r="L92" s="1062"/>
      <c r="M92" s="1553"/>
      <c r="N92" s="1553"/>
      <c r="O92" s="1062"/>
      <c r="P92" s="1062"/>
      <c r="Q92" s="1062"/>
      <c r="R92" s="1062"/>
      <c r="S92" s="1553"/>
      <c r="T92" s="1062"/>
      <c r="U92" s="1062"/>
      <c r="V92" s="468"/>
      <c r="W92" s="1062"/>
      <c r="X92" s="1062"/>
      <c r="Y92" s="1062"/>
      <c r="Z92" s="1062"/>
      <c r="AA92" s="1062"/>
      <c r="AB92" s="1549"/>
      <c r="AC92" s="487"/>
      <c r="AD92" s="487"/>
      <c r="AE92" s="487"/>
      <c r="AF92" s="487"/>
    </row>
    <row r="93" spans="1:32" s="1558" customFormat="1" ht="11.25" customHeight="1">
      <c r="A93" s="899"/>
      <c r="B93" s="1553"/>
      <c r="C93" s="1553"/>
      <c r="D93" s="272"/>
      <c r="L93" s="1062"/>
      <c r="M93" s="1553"/>
      <c r="N93" s="1553"/>
      <c r="O93" s="1062"/>
      <c r="P93" s="1062"/>
      <c r="Q93" s="1062"/>
      <c r="R93" s="1062"/>
      <c r="S93" s="1553"/>
      <c r="T93" s="1062"/>
      <c r="U93" s="1062"/>
      <c r="V93" s="468"/>
      <c r="W93" s="1062"/>
      <c r="X93" s="1062"/>
      <c r="Y93" s="1062"/>
      <c r="Z93" s="1062"/>
      <c r="AA93" s="1062"/>
      <c r="AB93" s="1549"/>
      <c r="AC93" s="487"/>
      <c r="AD93" s="487"/>
      <c r="AE93" s="487"/>
      <c r="AF93" s="487"/>
    </row>
    <row r="94" spans="1:32" s="1558" customFormat="1" ht="11.25" customHeight="1">
      <c r="A94" s="899"/>
      <c r="B94" s="1553"/>
      <c r="C94" s="1553"/>
      <c r="D94" s="272"/>
      <c r="L94" s="1062"/>
      <c r="M94" s="1553"/>
      <c r="N94" s="1553"/>
      <c r="O94" s="1062"/>
      <c r="P94" s="1062"/>
      <c r="Q94" s="1062"/>
      <c r="R94" s="1062"/>
      <c r="S94" s="1553"/>
      <c r="T94" s="1062"/>
      <c r="U94" s="1062"/>
      <c r="V94" s="468"/>
      <c r="W94" s="1062"/>
      <c r="X94" s="1062"/>
      <c r="Y94" s="1062"/>
      <c r="Z94" s="1062"/>
      <c r="AA94" s="1062"/>
      <c r="AB94" s="1549"/>
      <c r="AC94" s="487"/>
      <c r="AD94" s="487"/>
      <c r="AE94" s="487"/>
      <c r="AF94" s="487"/>
    </row>
    <row r="95" spans="1:32" s="1558" customFormat="1" ht="11.25" customHeight="1">
      <c r="A95" s="899"/>
      <c r="B95" s="1553"/>
      <c r="C95" s="1553"/>
      <c r="D95" s="272"/>
      <c r="L95" s="1062"/>
      <c r="M95" s="1553"/>
      <c r="N95" s="1553"/>
      <c r="O95" s="1062"/>
      <c r="P95" s="1062"/>
      <c r="Q95" s="1062"/>
      <c r="R95" s="1062"/>
      <c r="S95" s="1553"/>
      <c r="T95" s="1062"/>
      <c r="U95" s="1062"/>
      <c r="V95" s="468"/>
      <c r="W95" s="1062"/>
      <c r="X95" s="1062"/>
      <c r="Y95" s="1062"/>
      <c r="Z95" s="1062"/>
      <c r="AA95" s="1062"/>
      <c r="AB95" s="1549"/>
      <c r="AC95" s="487"/>
      <c r="AD95" s="487"/>
      <c r="AE95" s="487"/>
      <c r="AF95" s="487"/>
    </row>
    <row r="96" spans="1:32" s="1558" customFormat="1" ht="11.25" customHeight="1">
      <c r="A96" s="899"/>
      <c r="B96" s="1553"/>
      <c r="C96" s="1553"/>
      <c r="D96" s="272"/>
      <c r="L96" s="1062"/>
      <c r="M96" s="1553"/>
      <c r="N96" s="1553"/>
      <c r="O96" s="1062"/>
      <c r="P96" s="1062"/>
      <c r="Q96" s="1062"/>
      <c r="R96" s="1062"/>
      <c r="S96" s="1553"/>
      <c r="T96" s="1062"/>
      <c r="U96" s="1062"/>
      <c r="V96" s="468"/>
      <c r="W96" s="1062"/>
      <c r="X96" s="1062"/>
      <c r="Y96" s="1062"/>
      <c r="Z96" s="1062"/>
      <c r="AA96" s="1062"/>
      <c r="AB96" s="1549"/>
      <c r="AC96" s="487"/>
      <c r="AD96" s="487"/>
      <c r="AE96" s="487"/>
      <c r="AF96" s="487"/>
    </row>
    <row r="97" spans="1:32" s="1558" customFormat="1" ht="11.25" customHeight="1">
      <c r="A97" s="899"/>
      <c r="B97" s="1553"/>
      <c r="C97" s="1553"/>
      <c r="D97" s="272"/>
      <c r="L97" s="1062"/>
      <c r="M97" s="1553"/>
      <c r="N97" s="1553"/>
      <c r="O97" s="1062"/>
      <c r="P97" s="1062"/>
      <c r="Q97" s="1062"/>
      <c r="R97" s="1062"/>
      <c r="S97" s="1553"/>
      <c r="T97" s="1062"/>
      <c r="U97" s="1062"/>
      <c r="V97" s="468"/>
      <c r="W97" s="1062"/>
      <c r="X97" s="1062"/>
      <c r="Y97" s="1062"/>
      <c r="Z97" s="1062"/>
      <c r="AA97" s="1062"/>
      <c r="AB97" s="1549"/>
      <c r="AC97" s="487"/>
      <c r="AD97" s="487"/>
      <c r="AE97" s="487"/>
      <c r="AF97" s="487"/>
    </row>
    <row r="98" spans="1:32" s="1558" customFormat="1" ht="11.25" customHeight="1">
      <c r="A98" s="899"/>
      <c r="B98" s="1553"/>
      <c r="C98" s="1553"/>
      <c r="D98" s="272"/>
      <c r="L98" s="1062"/>
      <c r="M98" s="1553"/>
      <c r="N98" s="1553"/>
      <c r="O98" s="1062"/>
      <c r="P98" s="1062"/>
      <c r="Q98" s="1062"/>
      <c r="R98" s="1062"/>
      <c r="S98" s="1553"/>
      <c r="T98" s="1062"/>
      <c r="U98" s="1062"/>
      <c r="V98" s="468"/>
      <c r="W98" s="1062"/>
      <c r="X98" s="1062"/>
      <c r="Y98" s="1062"/>
      <c r="Z98" s="1062"/>
      <c r="AA98" s="1062"/>
      <c r="AB98" s="1549"/>
      <c r="AC98" s="487"/>
      <c r="AD98" s="487"/>
      <c r="AE98" s="487"/>
      <c r="AF98" s="487"/>
    </row>
    <row r="99" spans="1:32" s="1558" customFormat="1" ht="11.25" customHeight="1">
      <c r="A99" s="899"/>
      <c r="B99" s="1553"/>
      <c r="C99" s="1553"/>
      <c r="D99" s="272"/>
      <c r="L99" s="1062"/>
      <c r="M99" s="1553"/>
      <c r="N99" s="1553"/>
      <c r="O99" s="1062"/>
      <c r="P99" s="1062"/>
      <c r="Q99" s="1062"/>
      <c r="R99" s="1062"/>
      <c r="S99" s="1553"/>
      <c r="T99" s="1062"/>
      <c r="U99" s="1062"/>
      <c r="V99" s="468"/>
      <c r="W99" s="1062"/>
      <c r="X99" s="1062"/>
      <c r="Y99" s="1062"/>
      <c r="Z99" s="1062"/>
      <c r="AA99" s="1062"/>
      <c r="AB99" s="1549"/>
      <c r="AC99" s="487"/>
      <c r="AD99" s="487"/>
      <c r="AE99" s="487"/>
      <c r="AF99" s="487"/>
    </row>
    <row r="100" spans="1:32" s="1558" customFormat="1" ht="11.25" customHeight="1">
      <c r="A100" s="899"/>
      <c r="B100" s="1553"/>
      <c r="C100" s="1553"/>
      <c r="D100" s="272"/>
      <c r="L100" s="1062"/>
      <c r="M100" s="1553"/>
      <c r="N100" s="1553"/>
      <c r="O100" s="1062"/>
      <c r="P100" s="1062"/>
      <c r="Q100" s="1062"/>
      <c r="R100" s="1062"/>
      <c r="S100" s="1553"/>
      <c r="T100" s="1062"/>
      <c r="U100" s="1062"/>
      <c r="V100" s="468"/>
      <c r="W100" s="1062"/>
      <c r="X100" s="1062"/>
      <c r="Y100" s="1062"/>
      <c r="Z100" s="1062"/>
      <c r="AA100" s="1062"/>
      <c r="AB100" s="1549"/>
      <c r="AC100" s="487"/>
      <c r="AD100" s="487"/>
      <c r="AE100" s="487"/>
      <c r="AF100" s="487"/>
    </row>
    <row r="101" spans="1:32" s="1558" customFormat="1" ht="11.25" customHeight="1">
      <c r="A101" s="899"/>
      <c r="B101" s="1553"/>
      <c r="C101" s="1553"/>
      <c r="D101" s="272"/>
      <c r="L101" s="1062"/>
      <c r="M101" s="1553"/>
      <c r="N101" s="1553"/>
      <c r="O101" s="1062"/>
      <c r="P101" s="1062"/>
      <c r="Q101" s="1062"/>
      <c r="R101" s="1062"/>
      <c r="S101" s="1553"/>
      <c r="T101" s="1062"/>
      <c r="U101" s="1062"/>
      <c r="V101" s="468"/>
      <c r="W101" s="1062"/>
      <c r="X101" s="1062"/>
      <c r="Y101" s="1062"/>
      <c r="Z101" s="1062"/>
      <c r="AA101" s="1062"/>
      <c r="AB101" s="1549"/>
      <c r="AC101" s="487"/>
      <c r="AD101" s="487"/>
      <c r="AE101" s="487"/>
      <c r="AF101" s="487"/>
    </row>
    <row r="102" spans="1:32" s="1558" customFormat="1" ht="11.25" customHeight="1">
      <c r="A102" s="899"/>
      <c r="B102" s="1553"/>
      <c r="C102" s="1553"/>
      <c r="D102" s="272"/>
      <c r="L102" s="1062"/>
      <c r="M102" s="1553"/>
      <c r="N102" s="1553"/>
      <c r="O102" s="1062"/>
      <c r="P102" s="1062"/>
      <c r="Q102" s="1062"/>
      <c r="R102" s="1062"/>
      <c r="S102" s="1553"/>
      <c r="T102" s="1062"/>
      <c r="U102" s="1062"/>
      <c r="V102" s="468"/>
      <c r="W102" s="1062"/>
      <c r="X102" s="1062"/>
      <c r="Y102" s="1062"/>
      <c r="Z102" s="1062"/>
      <c r="AA102" s="1062"/>
      <c r="AB102" s="1549"/>
      <c r="AC102" s="487"/>
      <c r="AD102" s="487"/>
      <c r="AE102" s="487"/>
      <c r="AF102" s="487"/>
    </row>
    <row r="103" spans="1:32" s="1558" customFormat="1" ht="11.25" customHeight="1">
      <c r="A103" s="899"/>
      <c r="B103" s="1553"/>
      <c r="C103" s="1553"/>
      <c r="D103" s="272"/>
      <c r="L103" s="1062"/>
      <c r="M103" s="1553"/>
      <c r="N103" s="1553"/>
      <c r="O103" s="1062"/>
      <c r="P103" s="1062"/>
      <c r="Q103" s="1062"/>
      <c r="R103" s="1062"/>
      <c r="S103" s="1553"/>
      <c r="T103" s="1062"/>
      <c r="U103" s="1062"/>
      <c r="V103" s="468"/>
      <c r="W103" s="1062"/>
      <c r="X103" s="1062"/>
      <c r="Y103" s="1062"/>
      <c r="Z103" s="1062"/>
      <c r="AA103" s="1062"/>
      <c r="AB103" s="1549"/>
      <c r="AC103" s="487"/>
      <c r="AD103" s="487"/>
      <c r="AE103" s="487"/>
      <c r="AF103" s="487"/>
    </row>
    <row r="104" spans="1:32" s="1558" customFormat="1" ht="11.25" customHeight="1">
      <c r="A104" s="899"/>
      <c r="B104" s="1553"/>
      <c r="C104" s="1553"/>
      <c r="D104" s="272"/>
      <c r="L104" s="1062"/>
      <c r="M104" s="1553"/>
      <c r="N104" s="1553"/>
      <c r="O104" s="1062"/>
      <c r="P104" s="1062"/>
      <c r="Q104" s="1062"/>
      <c r="R104" s="1062"/>
      <c r="S104" s="1553"/>
      <c r="T104" s="1062"/>
      <c r="U104" s="1062"/>
      <c r="V104" s="468"/>
      <c r="W104" s="1062"/>
      <c r="X104" s="1062"/>
      <c r="Y104" s="1062"/>
      <c r="Z104" s="1062"/>
      <c r="AA104" s="1062"/>
      <c r="AB104" s="1549"/>
      <c r="AC104" s="487"/>
      <c r="AD104" s="487"/>
      <c r="AE104" s="487"/>
      <c r="AF104" s="487"/>
    </row>
    <row r="105" spans="1:32" s="1558" customFormat="1" ht="11.25" customHeight="1">
      <c r="A105" s="899"/>
      <c r="B105" s="1553"/>
      <c r="C105" s="1553"/>
      <c r="D105" s="272"/>
      <c r="L105" s="1062"/>
      <c r="M105" s="1553"/>
      <c r="N105" s="1553"/>
      <c r="O105" s="1062"/>
      <c r="P105" s="1062"/>
      <c r="Q105" s="1062"/>
      <c r="R105" s="1062"/>
      <c r="S105" s="1553"/>
      <c r="T105" s="1062"/>
      <c r="U105" s="1062"/>
      <c r="V105" s="468"/>
      <c r="W105" s="1062"/>
      <c r="X105" s="1062"/>
      <c r="Y105" s="1062"/>
      <c r="Z105" s="1062"/>
      <c r="AA105" s="1062"/>
      <c r="AB105" s="1549"/>
      <c r="AC105" s="487"/>
      <c r="AD105" s="487"/>
      <c r="AE105" s="487"/>
      <c r="AF105" s="487"/>
    </row>
    <row r="106" spans="1:32" s="1558" customFormat="1" ht="11.25" customHeight="1">
      <c r="A106" s="899"/>
      <c r="B106" s="1553"/>
      <c r="C106" s="1553"/>
      <c r="D106" s="272"/>
      <c r="L106" s="1062"/>
      <c r="M106" s="1553"/>
      <c r="N106" s="1553"/>
      <c r="O106" s="1062"/>
      <c r="P106" s="1062"/>
      <c r="Q106" s="1062"/>
      <c r="R106" s="1062"/>
      <c r="S106" s="1553"/>
      <c r="T106" s="1062"/>
      <c r="U106" s="1062"/>
      <c r="V106" s="468"/>
      <c r="W106" s="1062"/>
      <c r="X106" s="1062"/>
      <c r="Y106" s="1062"/>
      <c r="Z106" s="1062"/>
      <c r="AA106" s="1062"/>
      <c r="AB106" s="1549"/>
      <c r="AC106" s="487"/>
      <c r="AD106" s="487"/>
      <c r="AE106" s="487"/>
      <c r="AF106" s="487"/>
    </row>
    <row r="107" spans="1:32" s="1558" customFormat="1" ht="11.25" customHeight="1">
      <c r="A107" s="899"/>
      <c r="B107" s="1553"/>
      <c r="C107" s="1553"/>
      <c r="D107" s="272"/>
      <c r="L107" s="1062"/>
      <c r="M107" s="1553"/>
      <c r="N107" s="1553"/>
      <c r="O107" s="1062"/>
      <c r="P107" s="1062"/>
      <c r="Q107" s="1062"/>
      <c r="R107" s="1062"/>
      <c r="S107" s="1553"/>
      <c r="T107" s="1062"/>
      <c r="U107" s="1062"/>
      <c r="V107" s="468"/>
      <c r="W107" s="1062"/>
      <c r="X107" s="1062"/>
      <c r="Y107" s="1062"/>
      <c r="Z107" s="1062"/>
      <c r="AA107" s="1062"/>
      <c r="AB107" s="1549"/>
      <c r="AC107" s="487"/>
      <c r="AD107" s="487"/>
      <c r="AE107" s="487"/>
      <c r="AF107" s="487"/>
    </row>
    <row r="108" spans="1:32" s="1558" customFormat="1" ht="11.25" customHeight="1">
      <c r="A108" s="899"/>
      <c r="B108" s="1553"/>
      <c r="C108" s="1553"/>
      <c r="D108" s="272"/>
      <c r="L108" s="1062"/>
      <c r="M108" s="1553"/>
      <c r="N108" s="1553"/>
      <c r="O108" s="1062"/>
      <c r="P108" s="1062"/>
      <c r="Q108" s="1062"/>
      <c r="R108" s="1062"/>
      <c r="S108" s="1553"/>
      <c r="T108" s="1062"/>
      <c r="U108" s="1062"/>
      <c r="V108" s="468"/>
      <c r="W108" s="1062"/>
      <c r="X108" s="1062"/>
      <c r="Y108" s="1062"/>
      <c r="Z108" s="1062"/>
      <c r="AA108" s="1062"/>
      <c r="AB108" s="1549"/>
      <c r="AC108" s="487"/>
      <c r="AD108" s="487"/>
      <c r="AE108" s="487"/>
      <c r="AF108" s="487"/>
    </row>
    <row r="109" spans="1:32" s="1558" customFormat="1" ht="11.25" customHeight="1">
      <c r="A109" s="899"/>
      <c r="B109" s="1553"/>
      <c r="C109" s="1553"/>
      <c r="D109" s="272"/>
      <c r="L109" s="1062"/>
      <c r="M109" s="1553"/>
      <c r="N109" s="1553"/>
      <c r="O109" s="1062"/>
      <c r="P109" s="1062"/>
      <c r="Q109" s="1062"/>
      <c r="R109" s="1062"/>
      <c r="S109" s="1553"/>
      <c r="T109" s="1062"/>
      <c r="U109" s="1062"/>
      <c r="V109" s="468"/>
      <c r="W109" s="1062"/>
      <c r="X109" s="1062"/>
      <c r="Y109" s="1062"/>
      <c r="Z109" s="1062"/>
      <c r="AA109" s="1062"/>
      <c r="AB109" s="1549"/>
      <c r="AC109" s="487"/>
      <c r="AD109" s="487"/>
      <c r="AE109" s="487"/>
      <c r="AF109" s="487"/>
    </row>
    <row r="110" spans="1:32" s="1558" customFormat="1" ht="11.25" customHeight="1">
      <c r="A110" s="899"/>
      <c r="B110" s="1553"/>
      <c r="C110" s="1553"/>
      <c r="D110" s="272"/>
      <c r="L110" s="1062"/>
      <c r="M110" s="1553"/>
      <c r="N110" s="1553"/>
      <c r="O110" s="1062"/>
      <c r="P110" s="1062"/>
      <c r="Q110" s="1062"/>
      <c r="R110" s="1062"/>
      <c r="S110" s="1553"/>
      <c r="T110" s="1062"/>
      <c r="U110" s="1062"/>
      <c r="V110" s="468"/>
      <c r="W110" s="1062"/>
      <c r="X110" s="1062"/>
      <c r="Y110" s="1062"/>
      <c r="Z110" s="1062"/>
      <c r="AA110" s="1062"/>
      <c r="AB110" s="1549"/>
      <c r="AC110" s="487"/>
      <c r="AD110" s="487"/>
      <c r="AE110" s="487"/>
      <c r="AF110" s="487"/>
    </row>
    <row r="111" spans="1:32" s="1558" customFormat="1" ht="11.25" customHeight="1">
      <c r="A111" s="899"/>
      <c r="B111" s="1553"/>
      <c r="C111" s="1553"/>
      <c r="D111" s="272"/>
      <c r="L111" s="1062"/>
      <c r="M111" s="1553"/>
      <c r="N111" s="1553"/>
      <c r="O111" s="1062"/>
      <c r="P111" s="1062"/>
      <c r="Q111" s="1062"/>
      <c r="R111" s="1062"/>
      <c r="S111" s="1553"/>
      <c r="T111" s="1062"/>
      <c r="U111" s="1062"/>
      <c r="V111" s="468"/>
      <c r="W111" s="1062"/>
      <c r="X111" s="1062"/>
      <c r="Y111" s="1062"/>
      <c r="Z111" s="1062"/>
      <c r="AA111" s="1062"/>
      <c r="AB111" s="1549"/>
      <c r="AC111" s="487"/>
      <c r="AD111" s="487"/>
      <c r="AE111" s="487"/>
      <c r="AF111" s="487"/>
    </row>
    <row r="112" spans="1:32" s="1558" customFormat="1" ht="11.25" customHeight="1">
      <c r="A112" s="899"/>
      <c r="B112" s="1553"/>
      <c r="C112" s="1553"/>
      <c r="D112" s="272"/>
      <c r="L112" s="1062"/>
      <c r="M112" s="1553"/>
      <c r="N112" s="1553"/>
      <c r="O112" s="1062"/>
      <c r="P112" s="1062"/>
      <c r="Q112" s="1062"/>
      <c r="R112" s="1062"/>
      <c r="S112" s="1553"/>
      <c r="T112" s="1062"/>
      <c r="U112" s="1062"/>
      <c r="V112" s="468"/>
      <c r="W112" s="1062"/>
      <c r="X112" s="1062"/>
      <c r="Y112" s="1062"/>
      <c r="Z112" s="1062"/>
      <c r="AA112" s="1062"/>
      <c r="AB112" s="1549"/>
      <c r="AC112" s="487"/>
      <c r="AD112" s="487"/>
      <c r="AE112" s="487"/>
      <c r="AF112" s="487"/>
    </row>
    <row r="113" spans="1:32" s="1558" customFormat="1" ht="11.25" customHeight="1">
      <c r="A113" s="899"/>
      <c r="B113" s="1553"/>
      <c r="C113" s="1553"/>
      <c r="D113" s="272"/>
      <c r="L113" s="1062"/>
      <c r="M113" s="1553"/>
      <c r="N113" s="1553"/>
      <c r="O113" s="1062"/>
      <c r="P113" s="1062"/>
      <c r="Q113" s="1062"/>
      <c r="R113" s="1062"/>
      <c r="S113" s="1553"/>
      <c r="T113" s="1062"/>
      <c r="U113" s="1062"/>
      <c r="V113" s="468"/>
      <c r="W113" s="1062"/>
      <c r="X113" s="1062"/>
      <c r="Y113" s="1062"/>
      <c r="Z113" s="1062"/>
      <c r="AA113" s="1062"/>
      <c r="AB113" s="1549"/>
      <c r="AC113" s="487"/>
      <c r="AD113" s="487"/>
      <c r="AE113" s="487"/>
      <c r="AF113" s="487"/>
    </row>
    <row r="114" spans="1:32" s="1558" customFormat="1" ht="11.25" customHeight="1">
      <c r="A114" s="899"/>
      <c r="B114" s="1553"/>
      <c r="C114" s="1553"/>
      <c r="D114" s="272"/>
      <c r="L114" s="1062"/>
      <c r="M114" s="1553"/>
      <c r="N114" s="1553"/>
      <c r="O114" s="1062"/>
      <c r="P114" s="1062"/>
      <c r="Q114" s="1062"/>
      <c r="R114" s="1062"/>
      <c r="S114" s="1553"/>
      <c r="T114" s="1062"/>
      <c r="U114" s="1062"/>
      <c r="V114" s="468"/>
      <c r="W114" s="1062"/>
      <c r="X114" s="1062"/>
      <c r="Y114" s="1062"/>
      <c r="Z114" s="1062"/>
      <c r="AA114" s="1062"/>
      <c r="AB114" s="1549"/>
      <c r="AC114" s="487"/>
      <c r="AD114" s="487"/>
      <c r="AE114" s="487"/>
      <c r="AF114" s="487"/>
    </row>
    <row r="115" spans="1:32" s="1558" customFormat="1" ht="11.25" customHeight="1">
      <c r="A115" s="899"/>
      <c r="B115" s="1553"/>
      <c r="C115" s="1553"/>
      <c r="D115" s="272"/>
      <c r="L115" s="1062"/>
      <c r="M115" s="1553"/>
      <c r="N115" s="1553"/>
      <c r="O115" s="1062"/>
      <c r="P115" s="1062"/>
      <c r="Q115" s="1062"/>
      <c r="R115" s="1062"/>
      <c r="S115" s="1553"/>
      <c r="T115" s="1062"/>
      <c r="U115" s="1062"/>
      <c r="V115" s="468"/>
      <c r="W115" s="1062"/>
      <c r="X115" s="1062"/>
      <c r="Y115" s="1062"/>
      <c r="Z115" s="1062"/>
      <c r="AA115" s="1062"/>
      <c r="AB115" s="1549"/>
      <c r="AC115" s="487"/>
      <c r="AD115" s="487"/>
      <c r="AE115" s="487"/>
      <c r="AF115" s="487"/>
    </row>
    <row r="116" spans="1:32" s="1558" customFormat="1" ht="11.25" customHeight="1">
      <c r="A116" s="899"/>
      <c r="B116" s="1553"/>
      <c r="C116" s="1553"/>
      <c r="D116" s="272"/>
      <c r="L116" s="1062"/>
      <c r="M116" s="1553"/>
      <c r="N116" s="1553"/>
      <c r="O116" s="1062"/>
      <c r="P116" s="1062"/>
      <c r="Q116" s="1062"/>
      <c r="R116" s="1062"/>
      <c r="S116" s="1553"/>
      <c r="T116" s="1062"/>
      <c r="U116" s="1062"/>
      <c r="V116" s="468"/>
      <c r="W116" s="1062"/>
      <c r="X116" s="1062"/>
      <c r="Y116" s="1062"/>
      <c r="Z116" s="1062"/>
      <c r="AA116" s="1062"/>
      <c r="AB116" s="1549"/>
      <c r="AC116" s="487"/>
      <c r="AD116" s="487"/>
      <c r="AE116" s="487"/>
      <c r="AF116" s="487"/>
    </row>
    <row r="117" spans="1:32" s="1558" customFormat="1" ht="11.25" customHeight="1">
      <c r="A117" s="899"/>
      <c r="B117" s="1553"/>
      <c r="C117" s="1553"/>
      <c r="D117" s="272"/>
      <c r="L117" s="1062"/>
      <c r="M117" s="1553"/>
      <c r="N117" s="1553"/>
      <c r="O117" s="1062"/>
      <c r="P117" s="1062"/>
      <c r="Q117" s="1062"/>
      <c r="R117" s="1062"/>
      <c r="S117" s="1553"/>
      <c r="T117" s="1062"/>
      <c r="U117" s="1062"/>
      <c r="V117" s="468"/>
      <c r="W117" s="1062"/>
      <c r="X117" s="1062"/>
      <c r="Y117" s="1062"/>
      <c r="Z117" s="1062"/>
      <c r="AA117" s="1062"/>
      <c r="AB117" s="1549"/>
      <c r="AC117" s="487"/>
      <c r="AD117" s="487"/>
      <c r="AE117" s="487"/>
      <c r="AF117" s="487"/>
    </row>
    <row r="118" spans="1:32" s="1558" customFormat="1" ht="11.25" customHeight="1">
      <c r="A118" s="899"/>
      <c r="B118" s="1553"/>
      <c r="C118" s="1553"/>
      <c r="D118" s="272"/>
      <c r="L118" s="1062"/>
      <c r="M118" s="1553"/>
      <c r="N118" s="1553"/>
      <c r="O118" s="1062"/>
      <c r="P118" s="1062"/>
      <c r="Q118" s="1062"/>
      <c r="R118" s="1062"/>
      <c r="S118" s="1553"/>
      <c r="T118" s="1062"/>
      <c r="U118" s="1062"/>
      <c r="V118" s="468"/>
      <c r="W118" s="1062"/>
      <c r="X118" s="1062"/>
      <c r="Y118" s="1062"/>
      <c r="Z118" s="1062"/>
      <c r="AA118" s="1062"/>
      <c r="AB118" s="1549"/>
      <c r="AC118" s="487"/>
      <c r="AD118" s="487"/>
      <c r="AE118" s="487"/>
      <c r="AF118" s="487"/>
    </row>
    <row r="119" spans="1:32" s="1558" customFormat="1" ht="11.25" customHeight="1">
      <c r="A119" s="899"/>
      <c r="B119" s="1553"/>
      <c r="C119" s="1553"/>
      <c r="D119" s="272"/>
      <c r="L119" s="1062"/>
      <c r="M119" s="1553"/>
      <c r="N119" s="1553"/>
      <c r="O119" s="1062"/>
      <c r="P119" s="1062"/>
      <c r="Q119" s="1062"/>
      <c r="R119" s="1062"/>
      <c r="S119" s="1553"/>
      <c r="T119" s="1062"/>
      <c r="U119" s="1062"/>
      <c r="V119" s="468"/>
      <c r="W119" s="1062"/>
      <c r="X119" s="1062"/>
      <c r="Y119" s="1062"/>
      <c r="Z119" s="1062"/>
      <c r="AA119" s="1062"/>
      <c r="AB119" s="1549"/>
      <c r="AC119" s="487"/>
      <c r="AD119" s="487"/>
      <c r="AE119" s="487"/>
      <c r="AF119" s="487"/>
    </row>
    <row r="120" spans="1:32" s="1558" customFormat="1" ht="11.25" customHeight="1">
      <c r="A120" s="899"/>
      <c r="B120" s="1553"/>
      <c r="C120" s="1553"/>
      <c r="D120" s="272"/>
      <c r="L120" s="1062"/>
      <c r="M120" s="1553"/>
      <c r="N120" s="1553"/>
      <c r="O120" s="1062"/>
      <c r="P120" s="1062"/>
      <c r="Q120" s="1062"/>
      <c r="R120" s="1062"/>
      <c r="S120" s="1553"/>
      <c r="T120" s="1062"/>
      <c r="U120" s="1062"/>
      <c r="V120" s="468"/>
      <c r="W120" s="1062"/>
      <c r="X120" s="1062"/>
      <c r="Y120" s="1062"/>
      <c r="Z120" s="1062"/>
      <c r="AA120" s="1062"/>
      <c r="AB120" s="1549"/>
      <c r="AC120" s="487"/>
      <c r="AD120" s="487"/>
      <c r="AE120" s="487"/>
      <c r="AF120" s="487"/>
    </row>
    <row r="121" spans="1:32" s="1558" customFormat="1" ht="11.25" customHeight="1">
      <c r="A121" s="899"/>
      <c r="B121" s="1553"/>
      <c r="C121" s="1553"/>
      <c r="D121" s="272"/>
      <c r="L121" s="1062"/>
      <c r="M121" s="1553"/>
      <c r="N121" s="1553"/>
      <c r="O121" s="1062"/>
      <c r="P121" s="1062"/>
      <c r="Q121" s="1062"/>
      <c r="R121" s="1062"/>
      <c r="S121" s="1553"/>
      <c r="T121" s="1062"/>
      <c r="U121" s="1062"/>
      <c r="V121" s="468"/>
      <c r="W121" s="1062"/>
      <c r="X121" s="1062"/>
      <c r="Y121" s="1062"/>
      <c r="Z121" s="1062"/>
      <c r="AA121" s="1062"/>
      <c r="AB121" s="1549"/>
      <c r="AC121" s="487"/>
      <c r="AD121" s="487"/>
      <c r="AE121" s="487"/>
      <c r="AF121" s="487"/>
    </row>
    <row r="122" spans="1:32" s="1558" customFormat="1" ht="11.25" customHeight="1">
      <c r="A122" s="899"/>
      <c r="B122" s="1553"/>
      <c r="C122" s="1553"/>
      <c r="D122" s="272"/>
      <c r="L122" s="1062"/>
      <c r="M122" s="1553"/>
      <c r="N122" s="1553"/>
      <c r="O122" s="1062"/>
      <c r="P122" s="1062"/>
      <c r="Q122" s="1062"/>
      <c r="R122" s="1062"/>
      <c r="S122" s="1553"/>
      <c r="T122" s="1062"/>
      <c r="U122" s="1062"/>
      <c r="V122" s="468"/>
      <c r="W122" s="1062"/>
      <c r="X122" s="1062"/>
      <c r="Y122" s="1062"/>
      <c r="Z122" s="1062"/>
      <c r="AA122" s="1062"/>
      <c r="AB122" s="1549"/>
      <c r="AC122" s="487"/>
      <c r="AD122" s="487"/>
      <c r="AE122" s="487"/>
      <c r="AF122" s="487"/>
    </row>
    <row r="123" spans="1:32" s="1558" customFormat="1" ht="11.25" customHeight="1">
      <c r="A123" s="899"/>
      <c r="B123" s="1553"/>
      <c r="C123" s="1553"/>
      <c r="D123" s="272"/>
      <c r="L123" s="1062"/>
      <c r="M123" s="1553"/>
      <c r="N123" s="1553"/>
      <c r="O123" s="1062"/>
      <c r="P123" s="1062"/>
      <c r="Q123" s="1062"/>
      <c r="R123" s="1062"/>
      <c r="S123" s="1553"/>
      <c r="T123" s="1062"/>
      <c r="U123" s="1062"/>
      <c r="V123" s="468"/>
      <c r="W123" s="1062"/>
      <c r="X123" s="1062"/>
      <c r="Y123" s="1062"/>
      <c r="Z123" s="1062"/>
      <c r="AA123" s="1062"/>
      <c r="AB123" s="1549"/>
      <c r="AC123" s="487"/>
      <c r="AD123" s="487"/>
      <c r="AE123" s="487"/>
      <c r="AF123" s="487"/>
    </row>
    <row r="124" spans="1:32" s="1558" customFormat="1" ht="11.25" customHeight="1">
      <c r="A124" s="899"/>
      <c r="B124" s="1553"/>
      <c r="C124" s="1553"/>
      <c r="D124" s="272"/>
      <c r="L124" s="1062"/>
      <c r="M124" s="1553"/>
      <c r="N124" s="1553"/>
      <c r="O124" s="1062"/>
      <c r="P124" s="1062"/>
      <c r="Q124" s="1062"/>
      <c r="R124" s="1062"/>
      <c r="S124" s="1553"/>
      <c r="T124" s="1062"/>
      <c r="U124" s="1062"/>
      <c r="V124" s="468"/>
      <c r="W124" s="1062"/>
      <c r="X124" s="1062"/>
      <c r="Y124" s="1062"/>
      <c r="Z124" s="1062"/>
      <c r="AA124" s="1062"/>
      <c r="AB124" s="1549"/>
      <c r="AC124" s="487"/>
      <c r="AD124" s="487"/>
      <c r="AE124" s="487"/>
      <c r="AF124" s="487"/>
    </row>
    <row r="125" spans="1:32" s="1558" customFormat="1" ht="11.25" customHeight="1">
      <c r="A125" s="899"/>
      <c r="B125" s="1553"/>
      <c r="C125" s="1553"/>
      <c r="D125" s="272"/>
      <c r="L125" s="1062"/>
      <c r="M125" s="1553"/>
      <c r="N125" s="1553"/>
      <c r="O125" s="1062"/>
      <c r="P125" s="1062"/>
      <c r="Q125" s="1062"/>
      <c r="R125" s="1062"/>
      <c r="S125" s="1553"/>
      <c r="T125" s="1062"/>
      <c r="U125" s="1062"/>
      <c r="V125" s="468"/>
      <c r="W125" s="1062"/>
      <c r="X125" s="1062"/>
      <c r="Y125" s="1062"/>
      <c r="Z125" s="1062"/>
      <c r="AA125" s="1062"/>
      <c r="AB125" s="1549"/>
      <c r="AC125" s="487"/>
      <c r="AD125" s="487"/>
      <c r="AE125" s="487"/>
      <c r="AF125" s="487"/>
    </row>
    <row r="126" spans="1:32" s="1558" customFormat="1" ht="11.25" customHeight="1">
      <c r="A126" s="899"/>
      <c r="B126" s="1553"/>
      <c r="C126" s="1553"/>
      <c r="D126" s="272"/>
      <c r="L126" s="1062"/>
      <c r="M126" s="1553"/>
      <c r="N126" s="1553"/>
      <c r="O126" s="1062"/>
      <c r="P126" s="1062"/>
      <c r="Q126" s="1062"/>
      <c r="R126" s="1062"/>
      <c r="S126" s="1553"/>
      <c r="T126" s="1062"/>
      <c r="U126" s="1062"/>
      <c r="V126" s="468"/>
      <c r="W126" s="1062"/>
      <c r="X126" s="1062"/>
      <c r="Y126" s="1062"/>
      <c r="Z126" s="1062"/>
      <c r="AA126" s="1062"/>
      <c r="AB126" s="1549"/>
      <c r="AC126" s="487"/>
      <c r="AD126" s="487"/>
      <c r="AE126" s="487"/>
      <c r="AF126" s="487"/>
    </row>
    <row r="127" spans="1:32" s="1558" customFormat="1" ht="11.25" customHeight="1">
      <c r="A127" s="899"/>
      <c r="B127" s="1553"/>
      <c r="C127" s="1553"/>
      <c r="D127" s="272"/>
      <c r="L127" s="1062"/>
      <c r="M127" s="1553"/>
      <c r="N127" s="1553"/>
      <c r="O127" s="1062"/>
      <c r="P127" s="1062"/>
      <c r="Q127" s="1062"/>
      <c r="R127" s="1062"/>
      <c r="S127" s="1553"/>
      <c r="T127" s="1062"/>
      <c r="U127" s="1062"/>
      <c r="V127" s="468"/>
      <c r="W127" s="1062"/>
      <c r="X127" s="1062"/>
      <c r="Y127" s="1062"/>
      <c r="Z127" s="1062"/>
      <c r="AA127" s="1062"/>
      <c r="AB127" s="1549"/>
      <c r="AC127" s="487"/>
      <c r="AD127" s="487"/>
      <c r="AE127" s="487"/>
      <c r="AF127" s="487"/>
    </row>
    <row r="128" spans="1:32" s="1558" customFormat="1" ht="11.25" customHeight="1">
      <c r="A128" s="899"/>
      <c r="B128" s="1553"/>
      <c r="C128" s="1553"/>
      <c r="D128" s="272"/>
      <c r="L128" s="1062"/>
      <c r="M128" s="1553"/>
      <c r="N128" s="1553"/>
      <c r="O128" s="1062"/>
      <c r="P128" s="1062"/>
      <c r="Q128" s="1062"/>
      <c r="R128" s="1062"/>
      <c r="S128" s="1553"/>
      <c r="T128" s="1062"/>
      <c r="U128" s="1062"/>
      <c r="V128" s="468"/>
      <c r="W128" s="1062"/>
      <c r="X128" s="1062"/>
      <c r="Y128" s="1062"/>
      <c r="Z128" s="1062"/>
      <c r="AA128" s="1062"/>
      <c r="AB128" s="1549"/>
      <c r="AC128" s="487"/>
      <c r="AD128" s="487"/>
      <c r="AE128" s="487"/>
      <c r="AF128" s="487"/>
    </row>
    <row r="129" spans="1:32" s="1558" customFormat="1" ht="11.25" customHeight="1">
      <c r="A129" s="899"/>
      <c r="B129" s="1553"/>
      <c r="C129" s="1553"/>
      <c r="D129" s="272"/>
      <c r="L129" s="1062"/>
      <c r="M129" s="1553"/>
      <c r="N129" s="1553"/>
      <c r="O129" s="1062"/>
      <c r="P129" s="1062"/>
      <c r="Q129" s="1062"/>
      <c r="R129" s="1062"/>
      <c r="S129" s="1553"/>
      <c r="T129" s="1062"/>
      <c r="U129" s="1062"/>
      <c r="V129" s="468"/>
      <c r="W129" s="1062"/>
      <c r="X129" s="1062"/>
      <c r="Y129" s="1062"/>
      <c r="Z129" s="1062"/>
      <c r="AA129" s="1062"/>
      <c r="AB129" s="1549"/>
      <c r="AC129" s="487"/>
      <c r="AD129" s="487"/>
      <c r="AE129" s="487"/>
      <c r="AF129" s="487"/>
    </row>
    <row r="130" spans="1:32" s="1558" customFormat="1" ht="11.25" customHeight="1">
      <c r="A130" s="899"/>
      <c r="B130" s="1553"/>
      <c r="C130" s="1553"/>
      <c r="D130" s="272"/>
      <c r="L130" s="1062"/>
      <c r="M130" s="1553"/>
      <c r="N130" s="1553"/>
      <c r="O130" s="1062"/>
      <c r="P130" s="1062"/>
      <c r="Q130" s="1062"/>
      <c r="R130" s="1062"/>
      <c r="S130" s="1553"/>
      <c r="T130" s="1062"/>
      <c r="U130" s="1062"/>
      <c r="V130" s="468"/>
      <c r="W130" s="1062"/>
      <c r="X130" s="1062"/>
      <c r="Y130" s="1062"/>
      <c r="Z130" s="1062"/>
      <c r="AA130" s="1062"/>
      <c r="AB130" s="1549"/>
      <c r="AC130" s="487"/>
      <c r="AD130" s="487"/>
      <c r="AE130" s="487"/>
      <c r="AF130" s="487"/>
    </row>
    <row r="131" spans="1:32" s="1558" customFormat="1" ht="11.25" customHeight="1">
      <c r="A131" s="899"/>
      <c r="B131" s="1553"/>
      <c r="C131" s="1553"/>
      <c r="D131" s="272"/>
      <c r="L131" s="1062"/>
      <c r="M131" s="1553"/>
      <c r="N131" s="1553"/>
      <c r="O131" s="1062"/>
      <c r="P131" s="1062"/>
      <c r="Q131" s="1062"/>
      <c r="R131" s="1062"/>
      <c r="S131" s="1553"/>
      <c r="T131" s="1062"/>
      <c r="U131" s="1062"/>
      <c r="V131" s="468"/>
      <c r="W131" s="1062"/>
      <c r="X131" s="1062"/>
      <c r="Y131" s="1062"/>
      <c r="Z131" s="1062"/>
      <c r="AA131" s="1062"/>
      <c r="AB131" s="1549"/>
      <c r="AC131" s="487"/>
      <c r="AD131" s="487"/>
      <c r="AE131" s="487"/>
      <c r="AF131" s="487"/>
    </row>
    <row r="132" spans="1:32" s="1558" customFormat="1" ht="11.25" customHeight="1">
      <c r="A132" s="899"/>
      <c r="B132" s="1553"/>
      <c r="C132" s="1553"/>
      <c r="D132" s="272"/>
      <c r="L132" s="1062"/>
      <c r="M132" s="1553"/>
      <c r="N132" s="1553"/>
      <c r="O132" s="1062"/>
      <c r="P132" s="1062"/>
      <c r="Q132" s="1062"/>
      <c r="R132" s="1062"/>
      <c r="S132" s="1553"/>
      <c r="T132" s="1062"/>
      <c r="U132" s="1062"/>
      <c r="V132" s="468"/>
      <c r="W132" s="1062"/>
      <c r="X132" s="1062"/>
      <c r="Y132" s="1062"/>
      <c r="Z132" s="1062"/>
      <c r="AA132" s="1062"/>
      <c r="AB132" s="1549"/>
      <c r="AC132" s="487"/>
      <c r="AD132" s="487"/>
      <c r="AE132" s="487"/>
      <c r="AF132" s="487"/>
    </row>
    <row r="133" spans="1:32" s="1558" customFormat="1" ht="11.25" customHeight="1">
      <c r="A133" s="899"/>
      <c r="B133" s="1553"/>
      <c r="C133" s="1553"/>
      <c r="D133" s="272"/>
      <c r="L133" s="1062"/>
      <c r="M133" s="1553"/>
      <c r="N133" s="1553"/>
      <c r="O133" s="1062"/>
      <c r="P133" s="1062"/>
      <c r="Q133" s="1062"/>
      <c r="R133" s="1062"/>
      <c r="S133" s="1553"/>
      <c r="T133" s="1062"/>
      <c r="U133" s="1062"/>
      <c r="V133" s="468"/>
      <c r="W133" s="1062"/>
      <c r="X133" s="1062"/>
      <c r="Y133" s="1062"/>
      <c r="Z133" s="1062"/>
      <c r="AA133" s="1062"/>
      <c r="AB133" s="1549"/>
      <c r="AC133" s="487"/>
      <c r="AD133" s="487"/>
      <c r="AE133" s="487"/>
      <c r="AF133" s="487"/>
    </row>
    <row r="134" spans="1:32" s="1558" customFormat="1" ht="11.25" customHeight="1">
      <c r="A134" s="899"/>
      <c r="B134" s="1553"/>
      <c r="C134" s="1553"/>
      <c r="D134" s="272"/>
      <c r="L134" s="1062"/>
      <c r="M134" s="1553"/>
      <c r="N134" s="1553"/>
      <c r="O134" s="1062"/>
      <c r="P134" s="1062"/>
      <c r="Q134" s="1062"/>
      <c r="R134" s="1062"/>
      <c r="S134" s="1553"/>
      <c r="T134" s="1062"/>
      <c r="U134" s="1062"/>
      <c r="V134" s="468"/>
      <c r="W134" s="1062"/>
      <c r="X134" s="1062"/>
      <c r="Y134" s="1062"/>
      <c r="Z134" s="1062"/>
      <c r="AA134" s="1062"/>
      <c r="AB134" s="1549"/>
      <c r="AC134" s="487"/>
      <c r="AD134" s="487"/>
      <c r="AE134" s="487"/>
      <c r="AF134" s="487"/>
    </row>
    <row r="135" spans="1:32" s="1558" customFormat="1" ht="11.25" customHeight="1">
      <c r="A135" s="899"/>
      <c r="B135" s="1553"/>
      <c r="C135" s="1553"/>
      <c r="D135" s="272"/>
      <c r="L135" s="1062"/>
      <c r="M135" s="1553"/>
      <c r="N135" s="1553"/>
      <c r="O135" s="1062"/>
      <c r="P135" s="1062"/>
      <c r="Q135" s="1062"/>
      <c r="R135" s="1062"/>
      <c r="S135" s="1553"/>
      <c r="T135" s="1062"/>
      <c r="U135" s="1062"/>
      <c r="V135" s="468"/>
      <c r="W135" s="1062"/>
      <c r="X135" s="1062"/>
      <c r="Y135" s="1062"/>
      <c r="Z135" s="1062"/>
      <c r="AA135" s="1062"/>
      <c r="AB135" s="1549"/>
      <c r="AC135" s="487"/>
      <c r="AD135" s="487"/>
      <c r="AE135" s="487"/>
      <c r="AF135" s="487"/>
    </row>
    <row r="136" spans="1:32" s="1558" customFormat="1" ht="11.25" customHeight="1">
      <c r="A136" s="899"/>
      <c r="B136" s="1553"/>
      <c r="C136" s="1553"/>
      <c r="D136" s="272"/>
      <c r="L136" s="1062"/>
      <c r="M136" s="1553"/>
      <c r="N136" s="1553"/>
      <c r="O136" s="1062"/>
      <c r="P136" s="1062"/>
      <c r="Q136" s="1062"/>
      <c r="R136" s="1062"/>
      <c r="S136" s="1553"/>
      <c r="T136" s="1062"/>
      <c r="U136" s="1062"/>
      <c r="V136" s="468"/>
      <c r="W136" s="1062"/>
      <c r="X136" s="1062"/>
      <c r="Y136" s="1062"/>
      <c r="Z136" s="1062"/>
      <c r="AA136" s="1062"/>
      <c r="AB136" s="1549"/>
      <c r="AC136" s="487"/>
      <c r="AD136" s="487"/>
      <c r="AE136" s="487"/>
      <c r="AF136" s="487"/>
    </row>
    <row r="137" spans="1:32" s="1558" customFormat="1" ht="11.25" customHeight="1">
      <c r="A137" s="899"/>
      <c r="B137" s="1553"/>
      <c r="C137" s="1553"/>
      <c r="D137" s="272"/>
      <c r="L137" s="1062"/>
      <c r="M137" s="1553"/>
      <c r="N137" s="1553"/>
      <c r="O137" s="1062"/>
      <c r="P137" s="1062"/>
      <c r="Q137" s="1062"/>
      <c r="R137" s="1062"/>
      <c r="S137" s="1553"/>
      <c r="T137" s="1062"/>
      <c r="U137" s="1062"/>
      <c r="V137" s="468"/>
      <c r="W137" s="1062"/>
      <c r="X137" s="1062"/>
      <c r="Y137" s="1062"/>
      <c r="Z137" s="1062"/>
      <c r="AA137" s="1062"/>
      <c r="AB137" s="1549"/>
      <c r="AC137" s="487"/>
      <c r="AD137" s="487"/>
      <c r="AE137" s="487"/>
      <c r="AF137" s="487"/>
    </row>
    <row r="138" spans="1:32" s="1558" customFormat="1" ht="11.25" customHeight="1">
      <c r="A138" s="899"/>
      <c r="B138" s="1553"/>
      <c r="C138" s="1553"/>
      <c r="D138" s="272"/>
      <c r="L138" s="1062"/>
      <c r="M138" s="1553"/>
      <c r="N138" s="1553"/>
      <c r="O138" s="1062"/>
      <c r="P138" s="1062"/>
      <c r="Q138" s="1062"/>
      <c r="R138" s="1062"/>
      <c r="S138" s="1553"/>
      <c r="T138" s="1062"/>
      <c r="U138" s="1062"/>
      <c r="V138" s="468"/>
      <c r="W138" s="1062"/>
      <c r="X138" s="1062"/>
      <c r="Y138" s="1062"/>
      <c r="Z138" s="1062"/>
      <c r="AA138" s="1062"/>
      <c r="AB138" s="1549"/>
      <c r="AC138" s="487"/>
      <c r="AD138" s="487"/>
      <c r="AE138" s="487"/>
      <c r="AF138" s="487"/>
    </row>
    <row r="139" spans="1:32" s="1558" customFormat="1" ht="11.25" customHeight="1">
      <c r="A139" s="899"/>
      <c r="B139" s="1553"/>
      <c r="C139" s="1553"/>
      <c r="D139" s="272"/>
      <c r="L139" s="1062"/>
      <c r="M139" s="1553"/>
      <c r="N139" s="1553"/>
      <c r="O139" s="1062"/>
      <c r="P139" s="1062"/>
      <c r="Q139" s="1062"/>
      <c r="R139" s="1062"/>
      <c r="S139" s="1553"/>
      <c r="T139" s="1062"/>
      <c r="U139" s="1062"/>
      <c r="V139" s="468"/>
      <c r="W139" s="1062"/>
      <c r="X139" s="1062"/>
      <c r="Y139" s="1062"/>
      <c r="Z139" s="1062"/>
      <c r="AA139" s="1062"/>
      <c r="AB139" s="1549"/>
      <c r="AC139" s="487"/>
      <c r="AD139" s="487"/>
      <c r="AE139" s="487"/>
      <c r="AF139" s="487"/>
    </row>
    <row r="140" spans="1:32" s="1558" customFormat="1" ht="11.25" customHeight="1">
      <c r="A140" s="899"/>
      <c r="B140" s="1553"/>
      <c r="C140" s="1553"/>
      <c r="D140" s="272"/>
      <c r="L140" s="1062"/>
      <c r="M140" s="1553"/>
      <c r="N140" s="1553"/>
      <c r="O140" s="1062"/>
      <c r="P140" s="1062"/>
      <c r="Q140" s="1062"/>
      <c r="R140" s="1062"/>
      <c r="S140" s="1553"/>
      <c r="T140" s="1062"/>
      <c r="U140" s="1062"/>
      <c r="V140" s="468"/>
      <c r="W140" s="1062"/>
      <c r="X140" s="1062"/>
      <c r="Y140" s="1062"/>
      <c r="Z140" s="1062"/>
      <c r="AA140" s="1062"/>
      <c r="AB140" s="1549"/>
      <c r="AC140" s="487"/>
      <c r="AD140" s="487"/>
      <c r="AE140" s="487"/>
      <c r="AF140" s="487"/>
    </row>
    <row r="141" spans="1:32" s="1558" customFormat="1" ht="11.25" customHeight="1">
      <c r="A141" s="899"/>
      <c r="B141" s="1553"/>
      <c r="C141" s="1553"/>
      <c r="D141" s="272"/>
      <c r="L141" s="1062"/>
      <c r="M141" s="1553"/>
      <c r="N141" s="1553"/>
      <c r="O141" s="1062"/>
      <c r="P141" s="1062"/>
      <c r="Q141" s="1062"/>
      <c r="R141" s="1062"/>
      <c r="S141" s="1553"/>
      <c r="T141" s="1062"/>
      <c r="U141" s="1062"/>
      <c r="V141" s="468"/>
      <c r="W141" s="1062"/>
      <c r="X141" s="1062"/>
      <c r="Y141" s="1062"/>
      <c r="Z141" s="1062"/>
      <c r="AA141" s="1062"/>
      <c r="AB141" s="1549"/>
      <c r="AC141" s="487"/>
      <c r="AD141" s="487"/>
      <c r="AE141" s="487"/>
      <c r="AF141" s="487"/>
    </row>
    <row r="142" spans="1:32" s="1558" customFormat="1" ht="11.25" customHeight="1">
      <c r="A142" s="899"/>
      <c r="B142" s="1553"/>
      <c r="C142" s="1553"/>
      <c r="D142" s="272"/>
      <c r="L142" s="1062"/>
      <c r="M142" s="1553"/>
      <c r="N142" s="1553"/>
      <c r="O142" s="1062"/>
      <c r="P142" s="1062"/>
      <c r="Q142" s="1062"/>
      <c r="R142" s="1062"/>
      <c r="S142" s="1553"/>
      <c r="T142" s="1062"/>
      <c r="U142" s="1062"/>
      <c r="V142" s="468"/>
      <c r="W142" s="1062"/>
      <c r="X142" s="1062"/>
      <c r="Y142" s="1062"/>
      <c r="Z142" s="1062"/>
      <c r="AA142" s="1062"/>
      <c r="AB142" s="1549"/>
      <c r="AC142" s="487"/>
      <c r="AD142" s="487"/>
      <c r="AE142" s="487"/>
      <c r="AF142" s="487"/>
    </row>
    <row r="143" spans="1:32" s="1558" customFormat="1" ht="11.25" customHeight="1">
      <c r="A143" s="899"/>
      <c r="B143" s="1553"/>
      <c r="C143" s="1553"/>
      <c r="D143" s="272"/>
      <c r="L143" s="1062"/>
      <c r="M143" s="1553"/>
      <c r="N143" s="1553"/>
      <c r="O143" s="1062"/>
      <c r="P143" s="1062"/>
      <c r="Q143" s="1062"/>
      <c r="R143" s="1062"/>
      <c r="S143" s="1553"/>
      <c r="T143" s="1062"/>
      <c r="U143" s="1062"/>
      <c r="V143" s="468"/>
      <c r="W143" s="1062"/>
      <c r="X143" s="1062"/>
      <c r="Y143" s="1062"/>
      <c r="Z143" s="1062"/>
      <c r="AA143" s="1062"/>
      <c r="AB143" s="1549"/>
      <c r="AC143" s="487"/>
      <c r="AD143" s="487"/>
      <c r="AE143" s="487"/>
      <c r="AF143" s="487"/>
    </row>
    <row r="144" spans="1:32" s="1558" customFormat="1" ht="11.25" customHeight="1">
      <c r="A144" s="899"/>
      <c r="B144" s="1553"/>
      <c r="C144" s="1553"/>
      <c r="D144" s="272"/>
      <c r="L144" s="1062"/>
      <c r="M144" s="1553"/>
      <c r="N144" s="1553"/>
      <c r="O144" s="1062"/>
      <c r="P144" s="1062"/>
      <c r="Q144" s="1062"/>
      <c r="R144" s="1062"/>
      <c r="S144" s="1553"/>
      <c r="T144" s="1062"/>
      <c r="U144" s="1062"/>
      <c r="V144" s="468"/>
      <c r="W144" s="1062"/>
      <c r="X144" s="1062"/>
      <c r="Y144" s="1062"/>
      <c r="Z144" s="1062"/>
      <c r="AA144" s="1062"/>
      <c r="AB144" s="1549"/>
      <c r="AC144" s="487"/>
      <c r="AD144" s="487"/>
      <c r="AE144" s="487"/>
      <c r="AF144" s="487"/>
    </row>
    <row r="145" spans="1:32" s="1558" customFormat="1" ht="11.25" customHeight="1">
      <c r="A145" s="899"/>
      <c r="B145" s="1553"/>
      <c r="C145" s="1553"/>
      <c r="D145" s="272"/>
      <c r="L145" s="1062"/>
      <c r="M145" s="1553"/>
      <c r="N145" s="1553"/>
      <c r="O145" s="1062"/>
      <c r="P145" s="1062"/>
      <c r="Q145" s="1062"/>
      <c r="R145" s="1062"/>
      <c r="S145" s="1553"/>
      <c r="T145" s="1062"/>
      <c r="U145" s="1062"/>
      <c r="V145" s="468"/>
      <c r="W145" s="1062"/>
      <c r="X145" s="1062"/>
      <c r="Y145" s="1062"/>
      <c r="Z145" s="1062"/>
      <c r="AA145" s="1062"/>
      <c r="AB145" s="1549"/>
      <c r="AC145" s="487"/>
      <c r="AD145" s="487"/>
      <c r="AE145" s="487"/>
      <c r="AF145" s="487"/>
    </row>
    <row r="146" spans="1:32" s="1558" customFormat="1" ht="11.25" customHeight="1">
      <c r="A146" s="899"/>
      <c r="B146" s="1553"/>
      <c r="C146" s="1553"/>
      <c r="D146" s="272"/>
      <c r="L146" s="1062"/>
      <c r="M146" s="1553"/>
      <c r="N146" s="1553"/>
      <c r="O146" s="1062"/>
      <c r="P146" s="1062"/>
      <c r="Q146" s="1062"/>
      <c r="R146" s="1062"/>
      <c r="S146" s="1553"/>
      <c r="T146" s="1062"/>
      <c r="U146" s="1062"/>
      <c r="V146" s="468"/>
      <c r="W146" s="1062"/>
      <c r="X146" s="1062"/>
      <c r="Y146" s="1062"/>
      <c r="Z146" s="1062"/>
      <c r="AA146" s="1062"/>
      <c r="AB146" s="1549"/>
      <c r="AC146" s="487"/>
      <c r="AD146" s="487"/>
      <c r="AE146" s="487"/>
      <c r="AF146" s="487"/>
    </row>
    <row r="147" spans="1:32" s="1558" customFormat="1" ht="11.25" customHeight="1">
      <c r="A147" s="899"/>
      <c r="B147" s="1553"/>
      <c r="C147" s="1553"/>
      <c r="D147" s="272"/>
      <c r="L147" s="1062"/>
      <c r="M147" s="1553"/>
      <c r="N147" s="1553"/>
      <c r="O147" s="1062"/>
      <c r="P147" s="1062"/>
      <c r="Q147" s="1062"/>
      <c r="R147" s="1062"/>
      <c r="S147" s="1553"/>
      <c r="T147" s="1062"/>
      <c r="U147" s="1062"/>
      <c r="V147" s="468"/>
      <c r="W147" s="1062"/>
      <c r="X147" s="1062"/>
      <c r="Y147" s="1062"/>
      <c r="Z147" s="1062"/>
      <c r="AA147" s="1062"/>
      <c r="AB147" s="1549"/>
      <c r="AC147" s="487"/>
      <c r="AD147" s="487"/>
      <c r="AE147" s="487"/>
      <c r="AF147" s="487"/>
    </row>
    <row r="148" spans="1:32" s="1558" customFormat="1" ht="11.25" customHeight="1">
      <c r="A148" s="899"/>
      <c r="B148" s="1553"/>
      <c r="C148" s="1553"/>
      <c r="D148" s="272"/>
      <c r="L148" s="1062"/>
      <c r="M148" s="1553"/>
      <c r="N148" s="1553"/>
      <c r="O148" s="1062"/>
      <c r="P148" s="1062"/>
      <c r="Q148" s="1062"/>
      <c r="R148" s="1062"/>
      <c r="S148" s="1553"/>
      <c r="T148" s="1062"/>
      <c r="U148" s="1062"/>
      <c r="V148" s="468"/>
      <c r="W148" s="1062"/>
      <c r="X148" s="1062"/>
      <c r="Y148" s="1062"/>
      <c r="Z148" s="1062"/>
      <c r="AA148" s="1062"/>
      <c r="AB148" s="1549"/>
      <c r="AC148" s="487"/>
      <c r="AD148" s="487"/>
      <c r="AE148" s="487"/>
      <c r="AF148" s="487"/>
    </row>
    <row r="149" spans="1:32" s="1558" customFormat="1" ht="11.25" customHeight="1">
      <c r="A149" s="899"/>
      <c r="B149" s="1553"/>
      <c r="C149" s="1553"/>
      <c r="D149" s="272"/>
      <c r="L149" s="1062"/>
      <c r="M149" s="1553"/>
      <c r="N149" s="1553"/>
      <c r="O149" s="1062"/>
      <c r="P149" s="1062"/>
      <c r="Q149" s="1062"/>
      <c r="R149" s="1062"/>
      <c r="S149" s="1553"/>
      <c r="T149" s="1062"/>
      <c r="U149" s="1062"/>
      <c r="V149" s="468"/>
      <c r="W149" s="1062"/>
      <c r="X149" s="1062"/>
      <c r="Y149" s="1062"/>
      <c r="Z149" s="1062"/>
      <c r="AA149" s="1062"/>
      <c r="AB149" s="1549"/>
      <c r="AC149" s="487"/>
      <c r="AD149" s="487"/>
      <c r="AE149" s="487"/>
      <c r="AF149" s="487"/>
    </row>
    <row r="150" spans="1:32" s="1558" customFormat="1" ht="11.25" customHeight="1">
      <c r="A150" s="899"/>
      <c r="B150" s="1553"/>
      <c r="C150" s="1553"/>
      <c r="D150" s="272"/>
      <c r="L150" s="1062"/>
      <c r="M150" s="1553"/>
      <c r="N150" s="1553"/>
      <c r="O150" s="1062"/>
      <c r="P150" s="1062"/>
      <c r="Q150" s="1062"/>
      <c r="R150" s="1062"/>
      <c r="S150" s="1553"/>
      <c r="T150" s="1062"/>
      <c r="U150" s="1062"/>
      <c r="V150" s="468"/>
      <c r="W150" s="1062"/>
      <c r="X150" s="1062"/>
      <c r="Y150" s="1062"/>
      <c r="Z150" s="1062"/>
      <c r="AA150" s="1062"/>
      <c r="AB150" s="1549"/>
      <c r="AC150" s="487"/>
      <c r="AD150" s="487"/>
      <c r="AE150" s="487"/>
      <c r="AF150" s="487"/>
    </row>
    <row r="151" spans="1:32" s="1558" customFormat="1" ht="11.25" customHeight="1">
      <c r="A151" s="899"/>
      <c r="B151" s="1553"/>
      <c r="C151" s="1553"/>
      <c r="D151" s="272"/>
      <c r="L151" s="1062"/>
      <c r="M151" s="1553"/>
      <c r="N151" s="1553"/>
      <c r="O151" s="1062"/>
      <c r="P151" s="1062"/>
      <c r="Q151" s="1062"/>
      <c r="R151" s="1062"/>
      <c r="S151" s="1553"/>
      <c r="T151" s="1062"/>
      <c r="U151" s="1062"/>
      <c r="V151" s="468"/>
      <c r="W151" s="1062"/>
      <c r="X151" s="1062"/>
      <c r="Y151" s="1062"/>
      <c r="Z151" s="1062"/>
      <c r="AA151" s="1062"/>
      <c r="AB151" s="1549"/>
      <c r="AC151" s="487"/>
      <c r="AD151" s="487"/>
      <c r="AE151" s="487"/>
      <c r="AF151" s="487"/>
    </row>
    <row r="152" spans="1:32" s="1558" customFormat="1" ht="11.25" customHeight="1">
      <c r="A152" s="899"/>
      <c r="B152" s="1553"/>
      <c r="C152" s="1553"/>
      <c r="D152" s="272"/>
      <c r="L152" s="1062"/>
      <c r="M152" s="1553"/>
      <c r="N152" s="1553"/>
      <c r="O152" s="1062"/>
      <c r="P152" s="1062"/>
      <c r="Q152" s="1062"/>
      <c r="R152" s="1062"/>
      <c r="S152" s="1553"/>
      <c r="T152" s="1062"/>
      <c r="U152" s="1062"/>
      <c r="V152" s="468"/>
      <c r="W152" s="1062"/>
      <c r="X152" s="1062"/>
      <c r="Y152" s="1062"/>
      <c r="Z152" s="1062"/>
      <c r="AA152" s="1062"/>
      <c r="AB152" s="1549"/>
      <c r="AC152" s="487"/>
      <c r="AD152" s="487"/>
      <c r="AE152" s="487"/>
      <c r="AF152" s="487"/>
    </row>
    <row r="153" spans="1:32" s="1558" customFormat="1" ht="11.25" customHeight="1">
      <c r="A153" s="899"/>
      <c r="B153" s="1553"/>
      <c r="C153" s="1553"/>
      <c r="D153" s="272"/>
      <c r="L153" s="1062"/>
      <c r="M153" s="1553"/>
      <c r="N153" s="1553"/>
      <c r="O153" s="1062"/>
      <c r="P153" s="1062"/>
      <c r="Q153" s="1062"/>
      <c r="R153" s="1062"/>
      <c r="S153" s="1553"/>
      <c r="T153" s="1062"/>
      <c r="U153" s="1062"/>
      <c r="V153" s="468"/>
      <c r="W153" s="1062"/>
      <c r="X153" s="1062"/>
      <c r="Y153" s="1062"/>
      <c r="Z153" s="1062"/>
      <c r="AA153" s="1062"/>
      <c r="AB153" s="1549"/>
      <c r="AC153" s="487"/>
      <c r="AD153" s="487"/>
      <c r="AE153" s="487"/>
      <c r="AF153" s="487"/>
    </row>
    <row r="154" spans="1:32" s="1558" customFormat="1" ht="11.25" customHeight="1">
      <c r="A154" s="899"/>
      <c r="B154" s="1553"/>
      <c r="C154" s="1553"/>
      <c r="D154" s="272"/>
      <c r="L154" s="1062"/>
      <c r="M154" s="1553"/>
      <c r="N154" s="1553"/>
      <c r="O154" s="1062"/>
      <c r="P154" s="1062"/>
      <c r="Q154" s="1062"/>
      <c r="R154" s="1062"/>
      <c r="S154" s="1553"/>
      <c r="T154" s="1062"/>
      <c r="U154" s="1062"/>
      <c r="V154" s="468"/>
      <c r="W154" s="1062"/>
      <c r="X154" s="1062"/>
      <c r="Y154" s="1062"/>
      <c r="Z154" s="1062"/>
      <c r="AA154" s="1062"/>
      <c r="AB154" s="1549"/>
      <c r="AC154" s="487"/>
      <c r="AD154" s="487"/>
      <c r="AE154" s="487"/>
      <c r="AF154" s="487"/>
    </row>
    <row r="155" spans="1:32" s="1558" customFormat="1" ht="11.25" customHeight="1">
      <c r="A155" s="899"/>
      <c r="B155" s="1553"/>
      <c r="C155" s="1553"/>
      <c r="D155" s="272"/>
      <c r="L155" s="1062"/>
      <c r="M155" s="1553"/>
      <c r="N155" s="1553"/>
      <c r="O155" s="1062"/>
      <c r="P155" s="1062"/>
      <c r="Q155" s="1062"/>
      <c r="R155" s="1062"/>
      <c r="S155" s="1553"/>
      <c r="T155" s="1062"/>
      <c r="U155" s="1062"/>
      <c r="V155" s="468"/>
      <c r="W155" s="1062"/>
      <c r="X155" s="1062"/>
      <c r="Y155" s="1062"/>
      <c r="Z155" s="1062"/>
      <c r="AA155" s="1062"/>
      <c r="AB155" s="1549"/>
      <c r="AC155" s="487"/>
      <c r="AD155" s="487"/>
      <c r="AE155" s="487"/>
      <c r="AF155" s="487"/>
    </row>
    <row r="156" spans="1:32" s="1558" customFormat="1" ht="11.25" customHeight="1">
      <c r="A156" s="899"/>
      <c r="B156" s="1553"/>
      <c r="C156" s="1553"/>
      <c r="D156" s="272"/>
      <c r="L156" s="1062"/>
      <c r="M156" s="1553"/>
      <c r="N156" s="1553"/>
      <c r="O156" s="1062"/>
      <c r="P156" s="1062"/>
      <c r="Q156" s="1062"/>
      <c r="R156" s="1062"/>
      <c r="S156" s="1553"/>
      <c r="T156" s="1062"/>
      <c r="U156" s="1062"/>
      <c r="V156" s="468"/>
      <c r="W156" s="1062"/>
      <c r="X156" s="1062"/>
      <c r="Y156" s="1062"/>
      <c r="Z156" s="1062"/>
      <c r="AA156" s="1062"/>
      <c r="AB156" s="1549"/>
      <c r="AC156" s="487"/>
      <c r="AD156" s="487"/>
      <c r="AE156" s="487"/>
      <c r="AF156" s="487"/>
    </row>
    <row r="157" spans="1:32" s="1558" customFormat="1" ht="11.25" customHeight="1">
      <c r="A157" s="899"/>
      <c r="B157" s="1553"/>
      <c r="C157" s="1553"/>
      <c r="D157" s="272"/>
      <c r="L157" s="1062"/>
      <c r="M157" s="1553"/>
      <c r="N157" s="1553"/>
      <c r="O157" s="1062"/>
      <c r="P157" s="1062"/>
      <c r="Q157" s="1062"/>
      <c r="R157" s="1062"/>
      <c r="S157" s="1553"/>
      <c r="T157" s="1062"/>
      <c r="U157" s="1062"/>
      <c r="V157" s="468"/>
      <c r="W157" s="1062"/>
      <c r="X157" s="1062"/>
      <c r="Y157" s="1062"/>
      <c r="Z157" s="1062"/>
      <c r="AA157" s="1062"/>
      <c r="AB157" s="1549"/>
      <c r="AC157" s="487"/>
      <c r="AD157" s="487"/>
      <c r="AE157" s="487"/>
      <c r="AF157" s="487"/>
    </row>
    <row r="158" spans="1:32" s="1558" customFormat="1" ht="11.25" customHeight="1">
      <c r="A158" s="899"/>
      <c r="B158" s="1553"/>
      <c r="C158" s="1553"/>
      <c r="D158" s="272"/>
      <c r="L158" s="1062"/>
      <c r="M158" s="1553"/>
      <c r="N158" s="1553"/>
      <c r="O158" s="1062"/>
      <c r="P158" s="1062"/>
      <c r="Q158" s="1062"/>
      <c r="R158" s="1062"/>
      <c r="S158" s="1553"/>
      <c r="T158" s="1062"/>
      <c r="U158" s="1062"/>
      <c r="V158" s="468"/>
      <c r="W158" s="1062"/>
      <c r="X158" s="1062"/>
      <c r="Y158" s="1062"/>
      <c r="Z158" s="1062"/>
      <c r="AA158" s="1062"/>
      <c r="AB158" s="1549"/>
      <c r="AC158" s="487"/>
      <c r="AD158" s="487"/>
      <c r="AE158" s="487"/>
      <c r="AF158" s="487"/>
    </row>
    <row r="159" spans="1:32" s="1558" customFormat="1" ht="11.25" customHeight="1">
      <c r="A159" s="899"/>
      <c r="B159" s="1553"/>
      <c r="C159" s="1553"/>
      <c r="D159" s="272"/>
      <c r="L159" s="1062"/>
      <c r="M159" s="1553"/>
      <c r="N159" s="1553"/>
      <c r="O159" s="1062"/>
      <c r="P159" s="1062"/>
      <c r="Q159" s="1062"/>
      <c r="R159" s="1062"/>
      <c r="S159" s="1553"/>
      <c r="T159" s="1062"/>
      <c r="U159" s="1062"/>
      <c r="V159" s="468"/>
      <c r="W159" s="1062"/>
      <c r="X159" s="1062"/>
      <c r="Y159" s="1062"/>
      <c r="Z159" s="1062"/>
      <c r="AA159" s="1062"/>
      <c r="AB159" s="1549"/>
      <c r="AC159" s="487"/>
      <c r="AD159" s="487"/>
      <c r="AE159" s="487"/>
      <c r="AF159" s="487"/>
    </row>
    <row r="160" spans="1:32" s="1558" customFormat="1" ht="11.25" customHeight="1">
      <c r="A160" s="899"/>
      <c r="B160" s="1553"/>
      <c r="C160" s="1553"/>
      <c r="D160" s="272"/>
      <c r="L160" s="1062"/>
      <c r="M160" s="1553"/>
      <c r="N160" s="1553"/>
      <c r="O160" s="1062"/>
      <c r="P160" s="1062"/>
      <c r="Q160" s="1062"/>
      <c r="R160" s="1062"/>
      <c r="S160" s="1553"/>
      <c r="T160" s="1062"/>
      <c r="U160" s="1062"/>
      <c r="V160" s="468"/>
      <c r="W160" s="1062"/>
      <c r="X160" s="1062"/>
      <c r="Y160" s="1062"/>
      <c r="Z160" s="1062"/>
      <c r="AA160" s="1062"/>
      <c r="AB160" s="1549"/>
      <c r="AC160" s="487"/>
      <c r="AD160" s="487"/>
      <c r="AE160" s="487"/>
      <c r="AF160" s="487"/>
    </row>
    <row r="161" spans="1:32" s="1558" customFormat="1" ht="11.25" customHeight="1">
      <c r="A161" s="899"/>
      <c r="B161" s="1553"/>
      <c r="C161" s="1553"/>
      <c r="D161" s="272"/>
      <c r="L161" s="1062"/>
      <c r="M161" s="1553"/>
      <c r="N161" s="1553"/>
      <c r="O161" s="1062"/>
      <c r="P161" s="1062"/>
      <c r="Q161" s="1062"/>
      <c r="R161" s="1062"/>
      <c r="S161" s="1553"/>
      <c r="T161" s="1062"/>
      <c r="U161" s="1062"/>
      <c r="V161" s="468"/>
      <c r="W161" s="1062"/>
      <c r="X161" s="1062"/>
      <c r="Y161" s="1062"/>
      <c r="Z161" s="1062"/>
      <c r="AA161" s="1062"/>
      <c r="AB161" s="1549"/>
      <c r="AC161" s="487"/>
      <c r="AD161" s="487"/>
      <c r="AE161" s="487"/>
      <c r="AF161" s="487"/>
    </row>
    <row r="162" spans="1:32" s="1558" customFormat="1" ht="11.25" customHeight="1">
      <c r="A162" s="899"/>
      <c r="B162" s="1553"/>
      <c r="C162" s="1553"/>
      <c r="D162" s="272"/>
      <c r="L162" s="1062"/>
      <c r="M162" s="1553"/>
      <c r="N162" s="1553"/>
      <c r="O162" s="1062"/>
      <c r="P162" s="1062"/>
      <c r="Q162" s="1062"/>
      <c r="R162" s="1062"/>
      <c r="S162" s="1553"/>
      <c r="T162" s="1062"/>
      <c r="U162" s="1062"/>
      <c r="V162" s="468"/>
      <c r="W162" s="1062"/>
      <c r="X162" s="1062"/>
      <c r="Y162" s="1062"/>
      <c r="Z162" s="1062"/>
      <c r="AA162" s="1062"/>
      <c r="AB162" s="1549"/>
      <c r="AC162" s="487"/>
      <c r="AD162" s="487"/>
      <c r="AE162" s="487"/>
      <c r="AF162" s="487"/>
    </row>
    <row r="163" spans="1:32" s="1558" customFormat="1" ht="11.25" customHeight="1">
      <c r="A163" s="899"/>
      <c r="B163" s="1553"/>
      <c r="C163" s="1553"/>
      <c r="D163" s="272"/>
      <c r="L163" s="1062"/>
      <c r="M163" s="1553"/>
      <c r="N163" s="1553"/>
      <c r="O163" s="1062"/>
      <c r="P163" s="1062"/>
      <c r="Q163" s="1062"/>
      <c r="R163" s="1062"/>
      <c r="S163" s="1553"/>
      <c r="T163" s="1062"/>
      <c r="U163" s="1062"/>
      <c r="V163" s="468"/>
      <c r="W163" s="1062"/>
      <c r="X163" s="1062"/>
      <c r="Y163" s="1062"/>
      <c r="Z163" s="1062"/>
      <c r="AA163" s="1062"/>
      <c r="AB163" s="1549"/>
      <c r="AC163" s="487"/>
      <c r="AD163" s="487"/>
      <c r="AE163" s="487"/>
      <c r="AF163" s="487"/>
    </row>
    <row r="164" spans="1:32" s="1558" customFormat="1" ht="11.25" customHeight="1">
      <c r="A164" s="899"/>
      <c r="B164" s="1553"/>
      <c r="C164" s="1553"/>
      <c r="D164" s="272"/>
      <c r="L164" s="1062"/>
      <c r="M164" s="1553"/>
      <c r="N164" s="1553"/>
      <c r="O164" s="1062"/>
      <c r="P164" s="1062"/>
      <c r="Q164" s="1062"/>
      <c r="R164" s="1062"/>
      <c r="S164" s="1553"/>
      <c r="T164" s="1062"/>
      <c r="U164" s="1062"/>
      <c r="V164" s="468"/>
      <c r="W164" s="1062"/>
      <c r="X164" s="1062"/>
      <c r="Y164" s="1062"/>
      <c r="Z164" s="1062"/>
      <c r="AA164" s="1062"/>
      <c r="AB164" s="1549"/>
      <c r="AC164" s="487"/>
      <c r="AD164" s="487"/>
      <c r="AE164" s="487"/>
      <c r="AF164" s="487"/>
    </row>
    <row r="165" spans="1:32" s="1558" customFormat="1" ht="11.25" customHeight="1">
      <c r="A165" s="899"/>
      <c r="B165" s="1553"/>
      <c r="C165" s="1553"/>
      <c r="D165" s="272"/>
      <c r="L165" s="1062"/>
      <c r="M165" s="1553"/>
      <c r="N165" s="1553"/>
      <c r="O165" s="1062"/>
      <c r="P165" s="1062"/>
      <c r="Q165" s="1062"/>
      <c r="R165" s="1062"/>
      <c r="S165" s="1553"/>
      <c r="T165" s="1062"/>
      <c r="U165" s="1062"/>
      <c r="V165" s="468"/>
      <c r="W165" s="1062"/>
      <c r="X165" s="1062"/>
      <c r="Y165" s="1062"/>
      <c r="Z165" s="1062"/>
      <c r="AA165" s="1062"/>
      <c r="AB165" s="1549"/>
      <c r="AC165" s="487"/>
      <c r="AD165" s="487"/>
      <c r="AE165" s="487"/>
      <c r="AF165" s="487"/>
    </row>
    <row r="166" spans="1:32" s="1558" customFormat="1" ht="11.25" customHeight="1">
      <c r="A166" s="899"/>
      <c r="B166" s="1553"/>
      <c r="C166" s="1553"/>
      <c r="D166" s="272"/>
      <c r="L166" s="1062"/>
      <c r="M166" s="1553"/>
      <c r="N166" s="1553"/>
      <c r="O166" s="1062"/>
      <c r="P166" s="1062"/>
      <c r="Q166" s="1062"/>
      <c r="R166" s="1062"/>
      <c r="S166" s="1553"/>
      <c r="T166" s="1062"/>
      <c r="U166" s="1062"/>
      <c r="V166" s="468"/>
      <c r="W166" s="1062"/>
      <c r="X166" s="1062"/>
      <c r="Y166" s="1062"/>
      <c r="Z166" s="1062"/>
      <c r="AA166" s="1062"/>
      <c r="AB166" s="1549"/>
      <c r="AC166" s="487"/>
      <c r="AD166" s="487"/>
      <c r="AE166" s="487"/>
      <c r="AF166" s="487"/>
    </row>
    <row r="167" spans="1:32" s="1558" customFormat="1" ht="11.25" customHeight="1">
      <c r="A167" s="899"/>
      <c r="B167" s="1553"/>
      <c r="C167" s="1553"/>
      <c r="D167" s="272"/>
      <c r="L167" s="1062"/>
      <c r="M167" s="1553"/>
      <c r="N167" s="1553"/>
      <c r="O167" s="1062"/>
      <c r="P167" s="1062"/>
      <c r="Q167" s="1062"/>
      <c r="R167" s="1062"/>
      <c r="S167" s="1553"/>
      <c r="T167" s="1062"/>
      <c r="U167" s="1062"/>
      <c r="V167" s="468"/>
      <c r="W167" s="1062"/>
      <c r="X167" s="1062"/>
      <c r="Y167" s="1062"/>
      <c r="Z167" s="1062"/>
      <c r="AA167" s="1062"/>
      <c r="AB167" s="1549"/>
      <c r="AC167" s="487"/>
      <c r="AD167" s="487"/>
      <c r="AE167" s="487"/>
      <c r="AF167" s="487"/>
    </row>
    <row r="168" spans="1:32" s="1558" customFormat="1" ht="11.25" customHeight="1">
      <c r="A168" s="899"/>
      <c r="B168" s="1553"/>
      <c r="C168" s="1553"/>
      <c r="D168" s="272"/>
      <c r="L168" s="1062"/>
      <c r="M168" s="1553"/>
      <c r="N168" s="1553"/>
      <c r="O168" s="1062"/>
      <c r="P168" s="1062"/>
      <c r="Q168" s="1062"/>
      <c r="R168" s="1062"/>
      <c r="S168" s="1553"/>
      <c r="T168" s="1062"/>
      <c r="U168" s="1062"/>
      <c r="V168" s="468"/>
      <c r="W168" s="1062"/>
      <c r="X168" s="1062"/>
      <c r="Y168" s="1062"/>
      <c r="Z168" s="1062"/>
      <c r="AA168" s="1062"/>
      <c r="AB168" s="1549"/>
      <c r="AC168" s="487"/>
      <c r="AD168" s="487"/>
      <c r="AE168" s="487"/>
      <c r="AF168" s="487"/>
    </row>
    <row r="169" spans="1:32" s="1558" customFormat="1" ht="11.25" customHeight="1">
      <c r="A169" s="899"/>
      <c r="B169" s="1553"/>
      <c r="C169" s="1553"/>
      <c r="D169" s="272"/>
      <c r="L169" s="1062"/>
      <c r="M169" s="1553"/>
      <c r="N169" s="1553"/>
      <c r="O169" s="1062"/>
      <c r="P169" s="1062"/>
      <c r="Q169" s="1062"/>
      <c r="R169" s="1062"/>
      <c r="S169" s="1553"/>
      <c r="T169" s="1062"/>
      <c r="U169" s="1062"/>
      <c r="V169" s="468"/>
      <c r="W169" s="1062"/>
      <c r="X169" s="1062"/>
      <c r="Y169" s="1062"/>
      <c r="Z169" s="1062"/>
      <c r="AA169" s="1062"/>
      <c r="AB169" s="1549"/>
      <c r="AC169" s="487"/>
      <c r="AD169" s="487"/>
      <c r="AE169" s="487"/>
      <c r="AF169" s="487"/>
    </row>
    <row r="170" spans="1:32" s="1558" customFormat="1" ht="11.25" customHeight="1">
      <c r="A170" s="899"/>
      <c r="B170" s="1553"/>
      <c r="C170" s="1553"/>
      <c r="D170" s="272"/>
      <c r="L170" s="1062"/>
      <c r="M170" s="1553"/>
      <c r="N170" s="1553"/>
      <c r="O170" s="1062"/>
      <c r="P170" s="1062"/>
      <c r="Q170" s="1062"/>
      <c r="R170" s="1062"/>
      <c r="S170" s="1553"/>
      <c r="T170" s="1062"/>
      <c r="U170" s="1062"/>
      <c r="V170" s="468"/>
      <c r="W170" s="1062"/>
      <c r="X170" s="1062"/>
      <c r="Y170" s="1062"/>
      <c r="Z170" s="1062"/>
      <c r="AA170" s="1062"/>
      <c r="AB170" s="1549"/>
      <c r="AC170" s="487"/>
      <c r="AD170" s="487"/>
      <c r="AE170" s="487"/>
      <c r="AF170" s="487"/>
    </row>
    <row r="171" spans="1:32" s="1558" customFormat="1" ht="11.25" customHeight="1">
      <c r="A171" s="899"/>
      <c r="B171" s="1553"/>
      <c r="C171" s="1553"/>
      <c r="D171" s="272"/>
      <c r="L171" s="1062"/>
      <c r="M171" s="1553"/>
      <c r="N171" s="1553"/>
      <c r="O171" s="1062"/>
      <c r="P171" s="1062"/>
      <c r="Q171" s="1062"/>
      <c r="R171" s="1062"/>
      <c r="S171" s="1553"/>
      <c r="T171" s="1062"/>
      <c r="U171" s="1062"/>
      <c r="V171" s="468"/>
      <c r="W171" s="1062"/>
      <c r="X171" s="1062"/>
      <c r="Y171" s="1062"/>
      <c r="Z171" s="1062"/>
      <c r="AA171" s="1062"/>
      <c r="AB171" s="1549"/>
      <c r="AC171" s="487"/>
      <c r="AD171" s="487"/>
      <c r="AE171" s="487"/>
      <c r="AF171" s="487"/>
    </row>
    <row r="172" spans="1:32" s="1558" customFormat="1" ht="11.25" customHeight="1">
      <c r="A172" s="899"/>
      <c r="B172" s="1553"/>
      <c r="C172" s="1553"/>
      <c r="D172" s="272"/>
      <c r="L172" s="1062"/>
      <c r="M172" s="1553"/>
      <c r="N172" s="1553"/>
      <c r="O172" s="1062"/>
      <c r="P172" s="1062"/>
      <c r="Q172" s="1062"/>
      <c r="R172" s="1062"/>
      <c r="S172" s="1553"/>
      <c r="T172" s="1062"/>
      <c r="U172" s="1062"/>
      <c r="V172" s="468"/>
      <c r="W172" s="1062"/>
      <c r="X172" s="1062"/>
      <c r="Y172" s="1062"/>
      <c r="Z172" s="1062"/>
      <c r="AA172" s="1062"/>
      <c r="AB172" s="1549"/>
      <c r="AC172" s="487"/>
      <c r="AD172" s="487"/>
      <c r="AE172" s="487"/>
      <c r="AF172" s="487"/>
    </row>
    <row r="173" spans="1:32" s="1558" customFormat="1" ht="11.25" customHeight="1">
      <c r="A173" s="899"/>
      <c r="B173" s="1553"/>
      <c r="C173" s="1553"/>
      <c r="D173" s="272"/>
      <c r="L173" s="1062"/>
      <c r="M173" s="1553"/>
      <c r="N173" s="1553"/>
      <c r="O173" s="1062"/>
      <c r="P173" s="1062"/>
      <c r="Q173" s="1062"/>
      <c r="R173" s="1062"/>
      <c r="S173" s="1553"/>
      <c r="T173" s="1062"/>
      <c r="U173" s="1062"/>
      <c r="V173" s="468"/>
      <c r="W173" s="1062"/>
      <c r="X173" s="1062"/>
      <c r="Y173" s="1062"/>
      <c r="Z173" s="1062"/>
      <c r="AA173" s="1062"/>
      <c r="AB173" s="1549"/>
      <c r="AC173" s="487"/>
      <c r="AD173" s="487"/>
      <c r="AE173" s="487"/>
      <c r="AF173" s="487"/>
    </row>
    <row r="174" spans="1:32" s="1558" customFormat="1" ht="11.25" customHeight="1">
      <c r="A174" s="899"/>
      <c r="B174" s="1553"/>
      <c r="C174" s="1553"/>
      <c r="D174" s="272"/>
      <c r="L174" s="1062"/>
      <c r="M174" s="1553"/>
      <c r="N174" s="1553"/>
      <c r="O174" s="1062"/>
      <c r="P174" s="1062"/>
      <c r="Q174" s="1062"/>
      <c r="R174" s="1062"/>
      <c r="S174" s="1553"/>
      <c r="T174" s="1062"/>
      <c r="U174" s="1062"/>
      <c r="V174" s="468"/>
      <c r="W174" s="1062"/>
      <c r="X174" s="1062"/>
      <c r="Y174" s="1062"/>
      <c r="Z174" s="1062"/>
      <c r="AA174" s="1062"/>
      <c r="AB174" s="1549"/>
      <c r="AC174" s="487"/>
      <c r="AD174" s="487"/>
      <c r="AE174" s="487"/>
      <c r="AF174" s="487"/>
    </row>
    <row r="175" spans="1:32" s="1558" customFormat="1" ht="11.25" customHeight="1">
      <c r="A175" s="899"/>
      <c r="B175" s="1553"/>
      <c r="C175" s="1553"/>
      <c r="D175" s="272"/>
      <c r="L175" s="1062"/>
      <c r="M175" s="1553"/>
      <c r="N175" s="1553"/>
      <c r="O175" s="1062"/>
      <c r="P175" s="1062"/>
      <c r="Q175" s="1062"/>
      <c r="R175" s="1062"/>
      <c r="S175" s="1553"/>
      <c r="T175" s="1062"/>
      <c r="U175" s="1062"/>
      <c r="V175" s="468"/>
      <c r="W175" s="1062"/>
      <c r="X175" s="1062"/>
      <c r="Y175" s="1062"/>
      <c r="Z175" s="1062"/>
      <c r="AA175" s="1062"/>
      <c r="AB175" s="1549"/>
      <c r="AC175" s="487"/>
      <c r="AD175" s="487"/>
      <c r="AE175" s="487"/>
      <c r="AF175" s="487"/>
    </row>
    <row r="176" spans="1:32" s="1558" customFormat="1" ht="11.25" customHeight="1">
      <c r="A176" s="899"/>
      <c r="B176" s="1553"/>
      <c r="C176" s="1553"/>
      <c r="D176" s="272"/>
      <c r="L176" s="1062"/>
      <c r="M176" s="1553"/>
      <c r="N176" s="1553"/>
      <c r="O176" s="1062"/>
      <c r="P176" s="1062"/>
      <c r="Q176" s="1062"/>
      <c r="R176" s="1062"/>
      <c r="S176" s="1553"/>
      <c r="T176" s="1062"/>
      <c r="U176" s="1062"/>
      <c r="V176" s="468"/>
      <c r="W176" s="1062"/>
      <c r="X176" s="1062"/>
      <c r="Y176" s="1062"/>
      <c r="Z176" s="1062"/>
      <c r="AA176" s="1062"/>
      <c r="AB176" s="1549"/>
      <c r="AC176" s="487"/>
      <c r="AD176" s="487"/>
      <c r="AE176" s="487"/>
      <c r="AF176" s="487"/>
    </row>
    <row r="177" spans="1:32" s="1558" customFormat="1" ht="11.25" customHeight="1">
      <c r="A177" s="899"/>
      <c r="B177" s="1553"/>
      <c r="C177" s="1553"/>
      <c r="D177" s="272"/>
      <c r="L177" s="1062"/>
      <c r="M177" s="1553"/>
      <c r="N177" s="1553"/>
      <c r="O177" s="1062"/>
      <c r="P177" s="1062"/>
      <c r="Q177" s="1062"/>
      <c r="R177" s="1062"/>
      <c r="S177" s="1553"/>
      <c r="T177" s="1062"/>
      <c r="U177" s="1062"/>
      <c r="V177" s="468"/>
      <c r="W177" s="1062"/>
      <c r="X177" s="1062"/>
      <c r="Y177" s="1062"/>
      <c r="Z177" s="1062"/>
      <c r="AA177" s="1062"/>
      <c r="AB177" s="1549"/>
      <c r="AC177" s="487"/>
      <c r="AD177" s="487"/>
      <c r="AE177" s="487"/>
      <c r="AF177" s="487"/>
    </row>
    <row r="178" spans="1:32" s="1558" customFormat="1" ht="11.25" customHeight="1">
      <c r="A178" s="899"/>
      <c r="B178" s="1553"/>
      <c r="C178" s="1553"/>
      <c r="D178" s="272"/>
      <c r="L178" s="1062"/>
      <c r="M178" s="1553"/>
      <c r="N178" s="1553"/>
      <c r="O178" s="1062"/>
      <c r="P178" s="1062"/>
      <c r="Q178" s="1062"/>
      <c r="R178" s="1062"/>
      <c r="S178" s="1553"/>
      <c r="T178" s="1062"/>
      <c r="U178" s="1062"/>
      <c r="V178" s="468"/>
      <c r="W178" s="1062"/>
      <c r="X178" s="1062"/>
      <c r="Y178" s="1062"/>
      <c r="Z178" s="1062"/>
      <c r="AA178" s="1062"/>
      <c r="AB178" s="1549"/>
      <c r="AC178" s="487"/>
      <c r="AD178" s="487"/>
      <c r="AE178" s="487"/>
      <c r="AF178" s="487"/>
    </row>
    <row r="179" spans="1:32" s="1558" customFormat="1" ht="11.25" customHeight="1">
      <c r="A179" s="899"/>
      <c r="B179" s="1553"/>
      <c r="C179" s="1553"/>
      <c r="D179" s="272"/>
      <c r="L179" s="1062"/>
      <c r="M179" s="1553"/>
      <c r="N179" s="1553"/>
      <c r="O179" s="1062"/>
      <c r="P179" s="1062"/>
      <c r="Q179" s="1062"/>
      <c r="R179" s="1062"/>
      <c r="S179" s="1553"/>
      <c r="T179" s="1062"/>
      <c r="U179" s="1062"/>
      <c r="V179" s="468"/>
      <c r="W179" s="1062"/>
      <c r="X179" s="1062"/>
      <c r="Y179" s="1062"/>
      <c r="Z179" s="1062"/>
      <c r="AA179" s="1062"/>
      <c r="AB179" s="1549"/>
      <c r="AC179" s="487"/>
      <c r="AD179" s="487"/>
      <c r="AE179" s="487"/>
      <c r="AF179" s="487"/>
    </row>
    <row r="180" spans="1:32" s="1558" customFormat="1" ht="11.25" customHeight="1">
      <c r="A180" s="899"/>
      <c r="B180" s="1553"/>
      <c r="C180" s="1553"/>
      <c r="D180" s="272"/>
      <c r="L180" s="1062"/>
      <c r="M180" s="1553"/>
      <c r="N180" s="1553"/>
      <c r="O180" s="1062"/>
      <c r="P180" s="1062"/>
      <c r="Q180" s="1062"/>
      <c r="R180" s="1062"/>
      <c r="S180" s="1553"/>
      <c r="T180" s="1062"/>
      <c r="U180" s="1062"/>
      <c r="V180" s="468"/>
      <c r="W180" s="1062"/>
      <c r="X180" s="1062"/>
      <c r="Y180" s="1062"/>
      <c r="Z180" s="1062"/>
      <c r="AA180" s="1062"/>
      <c r="AB180" s="1549"/>
      <c r="AC180" s="487"/>
      <c r="AD180" s="487"/>
      <c r="AE180" s="487"/>
      <c r="AF180" s="487"/>
    </row>
    <row r="181" spans="1:32" s="1558" customFormat="1" ht="11.25" customHeight="1">
      <c r="A181" s="899"/>
      <c r="B181" s="1553"/>
      <c r="C181" s="1553"/>
      <c r="D181" s="272"/>
      <c r="L181" s="1062"/>
      <c r="M181" s="1553"/>
      <c r="N181" s="1553"/>
      <c r="O181" s="1062"/>
      <c r="P181" s="1062"/>
      <c r="Q181" s="1062"/>
      <c r="R181" s="1062"/>
      <c r="S181" s="1553"/>
      <c r="T181" s="1062"/>
      <c r="U181" s="1062"/>
      <c r="V181" s="468"/>
      <c r="W181" s="1062"/>
      <c r="X181" s="1062"/>
      <c r="Y181" s="1062"/>
      <c r="Z181" s="1062"/>
      <c r="AA181" s="1062"/>
      <c r="AB181" s="1549"/>
      <c r="AC181" s="487"/>
      <c r="AD181" s="487"/>
      <c r="AE181" s="487"/>
      <c r="AF181" s="487"/>
    </row>
    <row r="182" spans="1:32" s="1558" customFormat="1" ht="11.25" customHeight="1">
      <c r="A182" s="899"/>
      <c r="B182" s="1553"/>
      <c r="C182" s="1553"/>
      <c r="D182" s="272"/>
      <c r="L182" s="1062"/>
      <c r="M182" s="1553"/>
      <c r="N182" s="1553"/>
      <c r="O182" s="1062"/>
      <c r="P182" s="1062"/>
      <c r="Q182" s="1062"/>
      <c r="R182" s="1062"/>
      <c r="S182" s="1553"/>
      <c r="T182" s="1062"/>
      <c r="U182" s="1062"/>
      <c r="V182" s="468"/>
      <c r="W182" s="1062"/>
      <c r="X182" s="1062"/>
      <c r="Y182" s="1062"/>
      <c r="Z182" s="1062"/>
      <c r="AA182" s="1062"/>
      <c r="AB182" s="1549"/>
      <c r="AC182" s="487"/>
      <c r="AD182" s="487"/>
      <c r="AE182" s="487"/>
      <c r="AF182" s="487"/>
    </row>
    <row r="183" spans="1:32" s="1558" customFormat="1" ht="11.25" customHeight="1">
      <c r="A183" s="899"/>
      <c r="B183" s="1553"/>
      <c r="C183" s="1553"/>
      <c r="D183" s="272"/>
      <c r="L183" s="1062"/>
      <c r="M183" s="1553"/>
      <c r="N183" s="1553"/>
      <c r="O183" s="1062"/>
      <c r="P183" s="1062"/>
      <c r="Q183" s="1062"/>
      <c r="R183" s="1062"/>
      <c r="S183" s="1553"/>
      <c r="T183" s="1062"/>
      <c r="U183" s="1062"/>
      <c r="V183" s="468"/>
      <c r="W183" s="1062"/>
      <c r="X183" s="1062"/>
      <c r="Y183" s="1062"/>
      <c r="Z183" s="1062"/>
      <c r="AA183" s="1062"/>
      <c r="AB183" s="1549"/>
      <c r="AC183" s="487"/>
      <c r="AD183" s="487"/>
      <c r="AE183" s="487"/>
      <c r="AF183" s="487"/>
    </row>
    <row r="184" spans="1:32" s="1558" customFormat="1" ht="11.25" customHeight="1">
      <c r="A184" s="899"/>
      <c r="B184" s="1553"/>
      <c r="C184" s="1553"/>
      <c r="D184" s="272"/>
      <c r="L184" s="1062"/>
      <c r="M184" s="1553"/>
      <c r="N184" s="1553"/>
      <c r="O184" s="1062"/>
      <c r="P184" s="1062"/>
      <c r="Q184" s="1062"/>
      <c r="R184" s="1062"/>
      <c r="S184" s="1553"/>
      <c r="T184" s="1062"/>
      <c r="U184" s="1062"/>
      <c r="V184" s="468"/>
      <c r="W184" s="1062"/>
      <c r="X184" s="1062"/>
      <c r="Y184" s="1062"/>
      <c r="Z184" s="1062"/>
      <c r="AA184" s="1062"/>
      <c r="AB184" s="1549"/>
      <c r="AC184" s="487"/>
      <c r="AD184" s="487"/>
      <c r="AE184" s="487"/>
      <c r="AF184" s="487"/>
    </row>
    <row r="185" spans="1:32" s="1558" customFormat="1" ht="11.25" customHeight="1">
      <c r="A185" s="899"/>
      <c r="B185" s="1553"/>
      <c r="C185" s="1553"/>
      <c r="D185" s="272"/>
      <c r="L185" s="1062"/>
      <c r="M185" s="1553"/>
      <c r="N185" s="1553"/>
      <c r="O185" s="1062"/>
      <c r="P185" s="1062"/>
      <c r="Q185" s="1062"/>
      <c r="R185" s="1062"/>
      <c r="S185" s="1553"/>
      <c r="T185" s="1062"/>
      <c r="U185" s="1062"/>
      <c r="V185" s="468"/>
      <c r="W185" s="1062"/>
      <c r="X185" s="1062"/>
      <c r="Y185" s="1062"/>
      <c r="Z185" s="1062"/>
      <c r="AA185" s="1062"/>
      <c r="AB185" s="1549"/>
      <c r="AC185" s="487"/>
      <c r="AD185" s="487"/>
      <c r="AE185" s="487"/>
      <c r="AF185" s="487"/>
    </row>
    <row r="186" spans="1:32" s="1558" customFormat="1" ht="11.25" customHeight="1">
      <c r="A186" s="899"/>
      <c r="B186" s="1553"/>
      <c r="C186" s="1553"/>
      <c r="D186" s="272"/>
      <c r="L186" s="1062"/>
      <c r="M186" s="1553"/>
      <c r="N186" s="1553"/>
      <c r="O186" s="1062"/>
      <c r="P186" s="1062"/>
      <c r="Q186" s="1062"/>
      <c r="R186" s="1062"/>
      <c r="S186" s="1553"/>
      <c r="T186" s="1062"/>
      <c r="U186" s="1062"/>
      <c r="V186" s="468"/>
      <c r="W186" s="1062"/>
      <c r="X186" s="1062"/>
      <c r="Y186" s="1062"/>
      <c r="Z186" s="1062"/>
      <c r="AA186" s="1062"/>
      <c r="AB186" s="1549"/>
      <c r="AC186" s="487"/>
      <c r="AD186" s="487"/>
      <c r="AE186" s="487"/>
      <c r="AF186" s="487"/>
    </row>
    <row r="187" spans="1:32" s="1558" customFormat="1" ht="11.25" customHeight="1">
      <c r="A187" s="899"/>
      <c r="B187" s="1553"/>
      <c r="C187" s="1553"/>
      <c r="D187" s="272"/>
      <c r="L187" s="1062"/>
      <c r="M187" s="1553"/>
      <c r="N187" s="1553"/>
      <c r="O187" s="1062"/>
      <c r="P187" s="1062"/>
      <c r="Q187" s="1062"/>
      <c r="R187" s="1062"/>
      <c r="S187" s="1553"/>
      <c r="T187" s="1062"/>
      <c r="U187" s="1062"/>
      <c r="V187" s="468"/>
      <c r="W187" s="1062"/>
      <c r="X187" s="1062"/>
      <c r="Y187" s="1062"/>
      <c r="Z187" s="1062"/>
      <c r="AA187" s="1062"/>
      <c r="AB187" s="1549"/>
      <c r="AC187" s="487"/>
      <c r="AD187" s="487"/>
      <c r="AE187" s="487"/>
      <c r="AF187" s="487"/>
    </row>
    <row r="188" spans="1:32" s="1558" customFormat="1" ht="11.25" customHeight="1">
      <c r="A188" s="899"/>
      <c r="B188" s="1553"/>
      <c r="C188" s="1553"/>
      <c r="D188" s="272"/>
      <c r="L188" s="1062"/>
      <c r="M188" s="1553"/>
      <c r="N188" s="1553"/>
      <c r="O188" s="1062"/>
      <c r="P188" s="1062"/>
      <c r="Q188" s="1062"/>
      <c r="R188" s="1062"/>
      <c r="S188" s="1553"/>
      <c r="T188" s="1062"/>
      <c r="U188" s="1062"/>
      <c r="V188" s="468"/>
      <c r="W188" s="1062"/>
      <c r="X188" s="1062"/>
      <c r="Y188" s="1062"/>
      <c r="Z188" s="1062"/>
      <c r="AA188" s="1062"/>
      <c r="AB188" s="1549"/>
      <c r="AC188" s="487"/>
      <c r="AD188" s="487"/>
      <c r="AE188" s="487"/>
      <c r="AF188" s="487"/>
    </row>
    <row r="189" spans="1:32" s="1558" customFormat="1" ht="11.25" customHeight="1">
      <c r="A189" s="899"/>
      <c r="B189" s="1553"/>
      <c r="C189" s="1553"/>
      <c r="D189" s="272"/>
      <c r="L189" s="1062"/>
      <c r="M189" s="1553"/>
      <c r="N189" s="1553"/>
      <c r="O189" s="1062"/>
      <c r="P189" s="1062"/>
      <c r="Q189" s="1062"/>
      <c r="R189" s="1062"/>
      <c r="S189" s="1553"/>
      <c r="T189" s="1062"/>
      <c r="U189" s="1062"/>
      <c r="V189" s="468"/>
      <c r="W189" s="1062"/>
      <c r="X189" s="1062"/>
      <c r="Y189" s="1062"/>
      <c r="Z189" s="1062"/>
      <c r="AA189" s="1062"/>
      <c r="AB189" s="1549"/>
      <c r="AC189" s="487"/>
      <c r="AD189" s="487"/>
      <c r="AE189" s="487"/>
      <c r="AF189" s="487"/>
    </row>
    <row r="190" spans="1:32" s="1558" customFormat="1" ht="11.25" customHeight="1">
      <c r="A190" s="899"/>
      <c r="B190" s="1553"/>
      <c r="C190" s="1553"/>
      <c r="D190" s="272"/>
      <c r="L190" s="1062"/>
      <c r="M190" s="1553"/>
      <c r="N190" s="1553"/>
      <c r="O190" s="1062"/>
      <c r="P190" s="1062"/>
      <c r="Q190" s="1062"/>
      <c r="R190" s="1062"/>
      <c r="S190" s="1553"/>
      <c r="T190" s="1062"/>
      <c r="U190" s="1062"/>
      <c r="V190" s="468"/>
      <c r="W190" s="1062"/>
      <c r="X190" s="1062"/>
      <c r="Y190" s="1062"/>
      <c r="Z190" s="1062"/>
      <c r="AA190" s="1062"/>
      <c r="AB190" s="1549"/>
      <c r="AC190" s="487"/>
      <c r="AD190" s="487"/>
      <c r="AE190" s="487"/>
      <c r="AF190" s="487"/>
    </row>
    <row r="191" spans="1:32" s="1558" customFormat="1" ht="11.25" customHeight="1">
      <c r="A191" s="899"/>
      <c r="B191" s="1553"/>
      <c r="C191" s="1553"/>
      <c r="D191" s="272"/>
      <c r="L191" s="1062"/>
      <c r="M191" s="1553"/>
      <c r="N191" s="1553"/>
      <c r="O191" s="1062"/>
      <c r="P191" s="1062"/>
      <c r="Q191" s="1062"/>
      <c r="R191" s="1062"/>
      <c r="S191" s="1553"/>
      <c r="T191" s="1062"/>
      <c r="U191" s="1062"/>
      <c r="V191" s="468"/>
      <c r="W191" s="1062"/>
      <c r="X191" s="1062"/>
      <c r="Y191" s="1062"/>
      <c r="Z191" s="1062"/>
      <c r="AA191" s="1062"/>
      <c r="AB191" s="1549"/>
      <c r="AC191" s="487"/>
      <c r="AD191" s="487"/>
      <c r="AE191" s="487"/>
      <c r="AF191" s="487"/>
    </row>
    <row r="192" spans="1:32" s="1558" customFormat="1" ht="11.25" customHeight="1">
      <c r="A192" s="899"/>
      <c r="B192" s="1553"/>
      <c r="C192" s="1553"/>
      <c r="D192" s="272"/>
      <c r="L192" s="1062"/>
      <c r="M192" s="1553"/>
      <c r="N192" s="1553"/>
      <c r="O192" s="1062"/>
      <c r="P192" s="1062"/>
      <c r="Q192" s="1062"/>
      <c r="R192" s="1062"/>
      <c r="S192" s="1553"/>
      <c r="T192" s="1062"/>
      <c r="U192" s="1062"/>
      <c r="V192" s="468"/>
      <c r="W192" s="1062"/>
      <c r="X192" s="1062"/>
      <c r="Y192" s="1062"/>
      <c r="Z192" s="1062"/>
      <c r="AA192" s="1062"/>
      <c r="AB192" s="1549"/>
      <c r="AC192" s="487"/>
      <c r="AD192" s="487"/>
      <c r="AE192" s="487"/>
      <c r="AF192" s="487"/>
    </row>
    <row r="193" spans="1:32" s="1558" customFormat="1" ht="11.25" customHeight="1">
      <c r="A193" s="899"/>
      <c r="B193" s="1553"/>
      <c r="C193" s="1553"/>
      <c r="D193" s="272"/>
      <c r="L193" s="1062"/>
      <c r="M193" s="1553"/>
      <c r="N193" s="1553"/>
      <c r="O193" s="1062"/>
      <c r="P193" s="1062"/>
      <c r="Q193" s="1062"/>
      <c r="R193" s="1062"/>
      <c r="S193" s="1553"/>
      <c r="T193" s="1062"/>
      <c r="U193" s="1062"/>
      <c r="V193" s="468"/>
      <c r="W193" s="1062"/>
      <c r="X193" s="1062"/>
      <c r="Y193" s="1062"/>
      <c r="Z193" s="1062"/>
      <c r="AA193" s="1062"/>
      <c r="AB193" s="1549"/>
      <c r="AC193" s="487"/>
      <c r="AD193" s="487"/>
      <c r="AE193" s="487"/>
      <c r="AF193" s="487"/>
    </row>
    <row r="194" spans="1:32" s="1558" customFormat="1" ht="11.25" customHeight="1">
      <c r="A194" s="899"/>
      <c r="B194" s="1553"/>
      <c r="C194" s="1553"/>
      <c r="D194" s="272"/>
      <c r="L194" s="1062"/>
      <c r="M194" s="1553"/>
      <c r="N194" s="1553"/>
      <c r="O194" s="1062"/>
      <c r="P194" s="1062"/>
      <c r="Q194" s="1062"/>
      <c r="R194" s="1062"/>
      <c r="S194" s="1553"/>
      <c r="T194" s="1062"/>
      <c r="U194" s="1062"/>
      <c r="V194" s="468"/>
      <c r="W194" s="1062"/>
      <c r="X194" s="1062"/>
      <c r="Y194" s="1062"/>
      <c r="Z194" s="1062"/>
      <c r="AA194" s="1062"/>
      <c r="AB194" s="1549"/>
      <c r="AC194" s="487"/>
      <c r="AD194" s="487"/>
      <c r="AE194" s="487"/>
      <c r="AF194" s="487"/>
    </row>
    <row r="195" spans="1:32" s="1558" customFormat="1" ht="11.25" customHeight="1">
      <c r="A195" s="899"/>
      <c r="B195" s="1553"/>
      <c r="C195" s="1553"/>
      <c r="D195" s="272"/>
      <c r="L195" s="1062"/>
      <c r="M195" s="1553"/>
      <c r="N195" s="1553"/>
      <c r="O195" s="1062"/>
      <c r="P195" s="1062"/>
      <c r="Q195" s="1062"/>
      <c r="R195" s="1062"/>
      <c r="S195" s="1553"/>
      <c r="T195" s="1062"/>
      <c r="U195" s="1062"/>
      <c r="V195" s="468"/>
      <c r="W195" s="1062"/>
      <c r="X195" s="1062"/>
      <c r="Y195" s="1062"/>
      <c r="Z195" s="1062"/>
      <c r="AA195" s="1062"/>
      <c r="AB195" s="1549"/>
      <c r="AC195" s="487"/>
      <c r="AD195" s="487"/>
      <c r="AE195" s="487"/>
      <c r="AF195" s="487"/>
    </row>
    <row r="196" spans="1:32" s="1558" customFormat="1" ht="11.25" customHeight="1">
      <c r="A196" s="899"/>
      <c r="B196" s="1553"/>
      <c r="C196" s="1553"/>
      <c r="D196" s="272"/>
      <c r="L196" s="1062"/>
      <c r="M196" s="1553"/>
      <c r="N196" s="1553"/>
      <c r="O196" s="1062"/>
      <c r="P196" s="1062"/>
      <c r="Q196" s="1062"/>
      <c r="R196" s="1062"/>
      <c r="S196" s="1553"/>
      <c r="T196" s="1062"/>
      <c r="U196" s="1062"/>
      <c r="V196" s="468"/>
      <c r="W196" s="1062"/>
      <c r="X196" s="1062"/>
      <c r="Y196" s="1062"/>
      <c r="Z196" s="1062"/>
      <c r="AA196" s="1062"/>
      <c r="AB196" s="1549"/>
      <c r="AC196" s="487"/>
      <c r="AD196" s="487"/>
      <c r="AE196" s="487"/>
      <c r="AF196" s="487"/>
    </row>
    <row r="197" spans="1:32" s="1558" customFormat="1" ht="11.25" customHeight="1">
      <c r="A197" s="899"/>
      <c r="B197" s="1553"/>
      <c r="C197" s="1553"/>
      <c r="D197" s="272"/>
      <c r="L197" s="1062"/>
      <c r="M197" s="1553"/>
      <c r="N197" s="1553"/>
      <c r="O197" s="1062"/>
      <c r="P197" s="1062"/>
      <c r="Q197" s="1062"/>
      <c r="R197" s="1062"/>
      <c r="S197" s="1553"/>
      <c r="T197" s="1062"/>
      <c r="U197" s="1062"/>
      <c r="V197" s="468"/>
      <c r="W197" s="1062"/>
      <c r="X197" s="1062"/>
      <c r="Y197" s="1062"/>
      <c r="Z197" s="1062"/>
      <c r="AA197" s="1062"/>
      <c r="AB197" s="1549"/>
      <c r="AC197" s="487"/>
      <c r="AD197" s="487"/>
      <c r="AE197" s="487"/>
      <c r="AF197" s="487"/>
    </row>
    <row r="198" spans="1:32" s="1558" customFormat="1" ht="11.25" customHeight="1">
      <c r="A198" s="899"/>
      <c r="B198" s="1553"/>
      <c r="C198" s="1553"/>
      <c r="D198" s="272"/>
      <c r="L198" s="1062"/>
      <c r="M198" s="1553"/>
      <c r="N198" s="1553"/>
      <c r="O198" s="1062"/>
      <c r="P198" s="1062"/>
      <c r="Q198" s="1062"/>
      <c r="R198" s="1062"/>
      <c r="S198" s="1553"/>
      <c r="T198" s="1062"/>
      <c r="U198" s="1062"/>
      <c r="V198" s="468"/>
      <c r="W198" s="1062"/>
      <c r="X198" s="1062"/>
      <c r="Y198" s="1062"/>
      <c r="Z198" s="1062"/>
      <c r="AA198" s="1062"/>
      <c r="AB198" s="1549"/>
      <c r="AC198" s="487"/>
      <c r="AD198" s="487"/>
      <c r="AE198" s="487"/>
      <c r="AF198" s="487"/>
    </row>
    <row r="199" spans="1:32" s="1558" customFormat="1" ht="11.25" customHeight="1">
      <c r="A199" s="899"/>
      <c r="B199" s="1553"/>
      <c r="C199" s="1553"/>
      <c r="D199" s="272"/>
      <c r="L199" s="1062"/>
      <c r="M199" s="1553"/>
      <c r="N199" s="1553"/>
      <c r="O199" s="1062"/>
      <c r="P199" s="1062"/>
      <c r="Q199" s="1062"/>
      <c r="R199" s="1062"/>
      <c r="S199" s="1553"/>
      <c r="T199" s="1062"/>
      <c r="U199" s="1062"/>
      <c r="V199" s="468"/>
      <c r="W199" s="1062"/>
      <c r="X199" s="1062"/>
      <c r="Y199" s="1062"/>
      <c r="Z199" s="1062"/>
      <c r="AA199" s="1062"/>
      <c r="AB199" s="1549"/>
      <c r="AC199" s="487"/>
      <c r="AD199" s="487"/>
      <c r="AE199" s="487"/>
      <c r="AF199" s="487"/>
    </row>
    <row r="200" spans="1:32" s="1558" customFormat="1" ht="11.25" customHeight="1">
      <c r="A200" s="899"/>
      <c r="B200" s="1553"/>
      <c r="C200" s="1553"/>
      <c r="D200" s="272"/>
      <c r="L200" s="1062"/>
      <c r="M200" s="1553"/>
      <c r="N200" s="1553"/>
      <c r="O200" s="1062"/>
      <c r="P200" s="1062"/>
      <c r="Q200" s="1062"/>
      <c r="R200" s="1062"/>
      <c r="S200" s="1553"/>
      <c r="T200" s="1062"/>
      <c r="U200" s="1062"/>
      <c r="V200" s="468"/>
      <c r="W200" s="1062"/>
      <c r="X200" s="1062"/>
      <c r="Y200" s="1062"/>
      <c r="Z200" s="1062"/>
      <c r="AA200" s="1062"/>
      <c r="AB200" s="1549"/>
      <c r="AC200" s="487"/>
      <c r="AD200" s="487"/>
      <c r="AE200" s="487"/>
      <c r="AF200" s="487"/>
    </row>
    <row r="201" spans="1:32" s="1558" customFormat="1" ht="11.25" customHeight="1">
      <c r="A201" s="899"/>
      <c r="B201" s="1553"/>
      <c r="C201" s="1553"/>
      <c r="D201" s="272"/>
      <c r="L201" s="1062"/>
      <c r="M201" s="1553"/>
      <c r="N201" s="1553"/>
      <c r="O201" s="1062"/>
      <c r="P201" s="1062"/>
      <c r="Q201" s="1062"/>
      <c r="R201" s="1062"/>
      <c r="S201" s="1553"/>
      <c r="T201" s="1062"/>
      <c r="U201" s="1062"/>
      <c r="V201" s="468"/>
      <c r="W201" s="1062"/>
      <c r="X201" s="1062"/>
      <c r="Y201" s="1062"/>
      <c r="Z201" s="1062"/>
      <c r="AA201" s="1062"/>
      <c r="AB201" s="1549"/>
      <c r="AC201" s="487"/>
      <c r="AD201" s="487"/>
      <c r="AE201" s="487"/>
      <c r="AF201" s="487"/>
    </row>
    <row r="202" spans="1:32" s="1558" customFormat="1" ht="11.25" customHeight="1">
      <c r="A202" s="899"/>
      <c r="B202" s="1553"/>
      <c r="C202" s="1553"/>
      <c r="D202" s="272"/>
      <c r="L202" s="1062"/>
      <c r="M202" s="1553"/>
      <c r="N202" s="1553"/>
      <c r="O202" s="1062"/>
      <c r="P202" s="1062"/>
      <c r="Q202" s="1062"/>
      <c r="R202" s="1062"/>
      <c r="S202" s="1553"/>
      <c r="T202" s="1062"/>
      <c r="U202" s="1062"/>
      <c r="V202" s="468"/>
      <c r="W202" s="1062"/>
      <c r="X202" s="1062"/>
      <c r="Y202" s="1062"/>
      <c r="Z202" s="1062"/>
      <c r="AA202" s="1062"/>
      <c r="AB202" s="1549"/>
      <c r="AC202" s="487"/>
      <c r="AD202" s="487"/>
      <c r="AE202" s="487"/>
      <c r="AF202" s="487"/>
    </row>
    <row r="203" spans="1:32" s="1558" customFormat="1" ht="11.25" customHeight="1">
      <c r="A203" s="899"/>
      <c r="B203" s="1553"/>
      <c r="C203" s="1553"/>
      <c r="D203" s="272"/>
      <c r="L203" s="1062"/>
      <c r="M203" s="1553"/>
      <c r="N203" s="1553"/>
      <c r="O203" s="1062"/>
      <c r="P203" s="1062"/>
      <c r="Q203" s="1062"/>
      <c r="R203" s="1062"/>
      <c r="S203" s="1553"/>
      <c r="T203" s="1062"/>
      <c r="U203" s="1062"/>
      <c r="V203" s="468"/>
      <c r="W203" s="1062"/>
      <c r="X203" s="1062"/>
      <c r="Y203" s="1062"/>
      <c r="Z203" s="1062"/>
      <c r="AA203" s="1062"/>
      <c r="AB203" s="1549"/>
      <c r="AC203" s="487"/>
      <c r="AD203" s="487"/>
      <c r="AE203" s="487"/>
      <c r="AF203" s="487"/>
    </row>
    <row r="204" spans="1:32" s="1558" customFormat="1" ht="11.25" customHeight="1">
      <c r="A204" s="899"/>
      <c r="B204" s="1553"/>
      <c r="C204" s="1553"/>
      <c r="D204" s="272"/>
      <c r="L204" s="1062"/>
      <c r="M204" s="1553"/>
      <c r="N204" s="1553"/>
      <c r="O204" s="1062"/>
      <c r="P204" s="1062"/>
      <c r="Q204" s="1062"/>
      <c r="R204" s="1062"/>
      <c r="S204" s="1553"/>
      <c r="T204" s="1062"/>
      <c r="U204" s="1062"/>
      <c r="V204" s="468"/>
      <c r="W204" s="1062"/>
      <c r="X204" s="1062"/>
      <c r="Y204" s="1062"/>
      <c r="Z204" s="1062"/>
      <c r="AA204" s="1062"/>
      <c r="AB204" s="1549"/>
      <c r="AC204" s="487"/>
      <c r="AD204" s="487"/>
      <c r="AE204" s="487"/>
      <c r="AF204" s="487"/>
    </row>
    <row r="208" spans="1:32" ht="11.25" customHeight="1">
      <c r="A208" s="902"/>
      <c r="B208" s="1548"/>
      <c r="D208" s="1548"/>
      <c r="L208" s="1548"/>
      <c r="O208" s="1548"/>
      <c r="P208" s="1548"/>
      <c r="Q208" s="1548"/>
      <c r="R208" s="1548"/>
      <c r="T208" s="1548"/>
      <c r="U208" s="1548"/>
      <c r="V208" s="1548"/>
      <c r="W208" s="1548"/>
      <c r="X208" s="1548"/>
      <c r="Y208" s="1548"/>
      <c r="Z208" s="1548"/>
      <c r="AA208" s="1548"/>
      <c r="AB208" s="1548"/>
      <c r="AC208" s="1548"/>
      <c r="AD208" s="1548"/>
      <c r="AE208" s="1548"/>
      <c r="AF208" s="1548"/>
    </row>
    <row r="209" spans="1:32" ht="11.25" customHeight="1">
      <c r="A209" s="902"/>
      <c r="B209" s="1548"/>
      <c r="D209" s="1548"/>
      <c r="L209" s="1548"/>
      <c r="O209" s="1548"/>
      <c r="P209" s="1548"/>
      <c r="Q209" s="1548"/>
      <c r="R209" s="1548"/>
      <c r="T209" s="1548"/>
      <c r="U209" s="1548"/>
      <c r="V209" s="1548"/>
      <c r="W209" s="1548"/>
      <c r="X209" s="1548"/>
      <c r="Y209" s="1548"/>
      <c r="Z209" s="1548"/>
      <c r="AA209" s="1548"/>
      <c r="AB209" s="1548"/>
      <c r="AC209" s="1548"/>
      <c r="AD209" s="1548"/>
      <c r="AE209" s="1548"/>
      <c r="AF209" s="1548"/>
    </row>
    <row r="210" spans="1:32" ht="11.25" customHeight="1">
      <c r="A210" s="902"/>
      <c r="B210" s="1548"/>
      <c r="D210" s="1548"/>
      <c r="L210" s="1548"/>
      <c r="O210" s="1548"/>
      <c r="P210" s="1548"/>
      <c r="Q210" s="1548"/>
      <c r="R210" s="1548"/>
      <c r="T210" s="1548"/>
      <c r="U210" s="1548"/>
      <c r="V210" s="1548"/>
      <c r="W210" s="1548"/>
      <c r="X210" s="1548"/>
      <c r="Y210" s="1548"/>
      <c r="Z210" s="1548"/>
      <c r="AA210" s="1548"/>
      <c r="AB210" s="1548"/>
      <c r="AC210" s="1548"/>
      <c r="AD210" s="1548"/>
      <c r="AE210" s="1548"/>
      <c r="AF210" s="1548"/>
    </row>
    <row r="211" spans="1:32" ht="11.25" customHeight="1">
      <c r="A211" s="902"/>
      <c r="B211" s="1548"/>
      <c r="D211" s="1548"/>
      <c r="L211" s="1548"/>
      <c r="O211" s="1548"/>
      <c r="P211" s="1548"/>
      <c r="Q211" s="1548"/>
      <c r="R211" s="1548"/>
      <c r="T211" s="1548"/>
      <c r="U211" s="1548"/>
      <c r="V211" s="1548"/>
      <c r="W211" s="1548"/>
      <c r="X211" s="1548"/>
      <c r="Y211" s="1548"/>
      <c r="Z211" s="1548"/>
      <c r="AA211" s="1548"/>
      <c r="AB211" s="1548"/>
      <c r="AC211" s="1548"/>
      <c r="AD211" s="1548"/>
      <c r="AE211" s="1548"/>
      <c r="AF211" s="1548"/>
    </row>
    <row r="212" spans="1:32" ht="11.25" customHeight="1">
      <c r="A212" s="902"/>
      <c r="B212" s="1548"/>
      <c r="D212" s="1548"/>
      <c r="L212" s="1548"/>
      <c r="O212" s="1548"/>
      <c r="P212" s="1548"/>
      <c r="Q212" s="1548"/>
      <c r="R212" s="1548"/>
      <c r="T212" s="1548"/>
      <c r="U212" s="1548"/>
      <c r="V212" s="1548"/>
      <c r="W212" s="1548"/>
      <c r="X212" s="1548"/>
      <c r="Y212" s="1548"/>
      <c r="Z212" s="1548"/>
      <c r="AA212" s="1548"/>
      <c r="AB212" s="1548"/>
      <c r="AC212" s="1548"/>
      <c r="AD212" s="1548"/>
      <c r="AE212" s="1548"/>
      <c r="AF212" s="1548"/>
    </row>
    <row r="213" spans="1:32" ht="11.25" customHeight="1">
      <c r="A213" s="902"/>
      <c r="B213" s="1548"/>
      <c r="D213" s="1548"/>
      <c r="L213" s="1548"/>
      <c r="O213" s="1548"/>
      <c r="P213" s="1548"/>
      <c r="Q213" s="1548"/>
      <c r="R213" s="1548"/>
      <c r="T213" s="1548"/>
      <c r="U213" s="1548"/>
      <c r="V213" s="1548"/>
      <c r="W213" s="1548"/>
      <c r="X213" s="1548"/>
      <c r="Y213" s="1548"/>
      <c r="Z213" s="1548"/>
      <c r="AA213" s="1548"/>
      <c r="AB213" s="1548"/>
      <c r="AC213" s="1548"/>
      <c r="AD213" s="1548"/>
      <c r="AE213" s="1548"/>
      <c r="AF213" s="1548"/>
    </row>
    <row r="214" spans="1:32" ht="11.25" customHeight="1">
      <c r="A214" s="902"/>
      <c r="B214" s="1548"/>
      <c r="D214" s="1548"/>
      <c r="L214" s="1548"/>
      <c r="O214" s="1548"/>
      <c r="P214" s="1548"/>
      <c r="Q214" s="1548"/>
      <c r="R214" s="1548"/>
      <c r="T214" s="1548"/>
      <c r="U214" s="1548"/>
      <c r="V214" s="1548"/>
      <c r="W214" s="1548"/>
      <c r="X214" s="1548"/>
      <c r="Y214" s="1548"/>
      <c r="Z214" s="1548"/>
      <c r="AA214" s="1548"/>
      <c r="AB214" s="1548"/>
      <c r="AC214" s="1548"/>
      <c r="AD214" s="1548"/>
      <c r="AE214" s="1548"/>
      <c r="AF214" s="1548"/>
    </row>
    <row r="215" spans="1:32" ht="11.25" customHeight="1">
      <c r="A215" s="902"/>
      <c r="B215" s="1548"/>
      <c r="D215" s="1548"/>
      <c r="L215" s="1548"/>
      <c r="O215" s="1548"/>
      <c r="P215" s="1548"/>
      <c r="Q215" s="1548"/>
      <c r="R215" s="1548"/>
      <c r="T215" s="1548"/>
      <c r="U215" s="1548"/>
      <c r="V215" s="1548"/>
      <c r="W215" s="1548"/>
      <c r="X215" s="1548"/>
      <c r="Y215" s="1548"/>
      <c r="Z215" s="1548"/>
      <c r="AA215" s="1548"/>
      <c r="AB215" s="1548"/>
      <c r="AC215" s="1548"/>
      <c r="AD215" s="1548"/>
      <c r="AE215" s="1548"/>
      <c r="AF215" s="1548"/>
    </row>
    <row r="216" spans="1:32" ht="11.25" customHeight="1">
      <c r="A216" s="902"/>
      <c r="B216" s="1548"/>
      <c r="D216" s="1548"/>
      <c r="L216" s="1548"/>
      <c r="O216" s="1548"/>
      <c r="P216" s="1548"/>
      <c r="Q216" s="1548"/>
      <c r="R216" s="1548"/>
      <c r="T216" s="1548"/>
      <c r="U216" s="1548"/>
      <c r="V216" s="1548"/>
      <c r="W216" s="1548"/>
      <c r="X216" s="1548"/>
      <c r="Y216" s="1548"/>
      <c r="Z216" s="1548"/>
      <c r="AA216" s="1548"/>
      <c r="AB216" s="1548"/>
      <c r="AC216" s="1548"/>
      <c r="AD216" s="1548"/>
      <c r="AE216" s="1548"/>
      <c r="AF216" s="1548"/>
    </row>
    <row r="217" spans="1:32" ht="11.25" customHeight="1">
      <c r="A217" s="902"/>
      <c r="B217" s="1548"/>
      <c r="D217" s="1548"/>
      <c r="L217" s="1548"/>
      <c r="O217" s="1548"/>
      <c r="P217" s="1548"/>
      <c r="Q217" s="1548"/>
      <c r="R217" s="1548"/>
      <c r="T217" s="1548"/>
      <c r="U217" s="1548"/>
      <c r="V217" s="1548"/>
      <c r="W217" s="1548"/>
      <c r="X217" s="1548"/>
      <c r="Y217" s="1548"/>
      <c r="Z217" s="1548"/>
      <c r="AA217" s="1548"/>
      <c r="AB217" s="1548"/>
      <c r="AC217" s="1548"/>
      <c r="AD217" s="1548"/>
      <c r="AE217" s="1548"/>
      <c r="AF217" s="1548"/>
    </row>
    <row r="218" spans="1:32" ht="11.25" customHeight="1">
      <c r="A218" s="902"/>
      <c r="B218" s="1548"/>
      <c r="D218" s="1548"/>
      <c r="L218" s="1548"/>
      <c r="O218" s="1548"/>
      <c r="P218" s="1548"/>
      <c r="Q218" s="1548"/>
      <c r="R218" s="1548"/>
      <c r="T218" s="1548"/>
      <c r="U218" s="1548"/>
      <c r="V218" s="1548"/>
      <c r="W218" s="1548"/>
      <c r="X218" s="1548"/>
      <c r="Y218" s="1548"/>
      <c r="Z218" s="1548"/>
      <c r="AA218" s="1548"/>
      <c r="AB218" s="1548"/>
      <c r="AC218" s="1548"/>
      <c r="AD218" s="1548"/>
      <c r="AE218" s="1548"/>
      <c r="AF218" s="1548"/>
    </row>
  </sheetData>
  <sheetProtection formatColumns="0" formatRows="0" insertRows="0" deleteColumns="0" deleteRows="0" sort="0" autoFilter="0"/>
  <mergeCells count="8">
    <mergeCell ref="F48:K48"/>
    <mergeCell ref="F49:K49"/>
    <mergeCell ref="E6:I6"/>
    <mergeCell ref="E7:I7"/>
    <mergeCell ref="F10:G10"/>
    <mergeCell ref="F11:G11"/>
    <mergeCell ref="F12:G12"/>
    <mergeCell ref="E13:G13"/>
  </mergeCells>
  <dataValidations count="5">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H33:J33 K33">
      <formula1>900</formula1>
    </dataValidation>
    <dataValidation type="decimal" allowBlank="1" showErrorMessage="1" errorTitle="Ошибка" error="Допускается ввод только неотрицательных чисел!" sqref="H38:J39 H2:J2 H15:J15 H17:J32 H35:J35 H44:J46 K2 K15 K17 K18 K19 K20 K21 K22 K23 K24 K25 K26 K27 K28 K29 K30 K31 K32 K35 K38 K39 K44 K45 K46">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H43:J43 K43">
      <formula1>900</formula1>
    </dataValidation>
    <dataValidation type="decimal" allowBlank="1" showErrorMessage="1" errorTitle="Ошибка" error="Допускается ввод только действительных чисел!" sqref="H36:J37 K36 K37">
      <formula1>-9.99999999999999E+23</formula1>
      <formula2>9.99999999999999E+23</formula2>
    </dataValidation>
    <dataValidation type="decimal" allowBlank="1" showErrorMessage="1" errorTitle="Ошибка" error="Допускается ввод только действительных чисел!" sqref="H40:J42 K40 K41 K42">
      <formula1>-9.99999999999999E+37</formula1>
      <formula2>9.99999999999999E+37</formula2>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249977111117893"/>
  </sheetPr>
  <dimension ref="A1:AF209"/>
  <sheetViews>
    <sheetView showGridLines="0" topLeftCell="D5" zoomScale="90" workbookViewId="0">
      <selection activeCell="J1" sqref="J1:J1048576"/>
    </sheetView>
  </sheetViews>
  <sheetFormatPr defaultColWidth="9.140625" defaultRowHeight="11.25" customHeight="1"/>
  <cols>
    <col min="1" max="1" width="10.7109375" style="899" hidden="1" customWidth="1"/>
    <col min="2" max="2" width="16.85546875" style="1284" hidden="1" customWidth="1"/>
    <col min="3" max="3" width="5.5703125" style="1559" hidden="1" customWidth="1"/>
    <col min="4" max="4" width="3.7109375" style="1552" customWidth="1"/>
    <col min="5" max="5" width="7.7109375" style="1552" customWidth="1"/>
    <col min="6" max="6" width="54.5703125" style="1552" customWidth="1"/>
    <col min="7" max="7" width="10.42578125" style="1552" customWidth="1"/>
    <col min="8" max="8" width="40.7109375" style="1552" hidden="1" customWidth="1"/>
    <col min="9" max="10" width="40.7109375" style="1552" customWidth="1"/>
    <col min="11" max="11" width="40.7109375" style="1552" hidden="1" customWidth="1"/>
    <col min="12" max="12" width="9.7109375" style="1284" customWidth="1"/>
    <col min="13" max="13" width="5.28515625" style="1559" customWidth="1"/>
    <col min="14" max="14" width="3.7109375" style="1559" customWidth="1"/>
    <col min="15" max="18" width="3.7109375" style="1284" customWidth="1"/>
    <col min="19" max="19" width="10.5703125" style="1559" customWidth="1"/>
    <col min="20" max="20" width="34.7109375" style="1284" customWidth="1"/>
    <col min="21" max="21" width="9.42578125" style="1284" customWidth="1"/>
    <col min="22" max="22" width="9.140625" style="652"/>
    <col min="23" max="27" width="9.140625" style="1284"/>
    <col min="28" max="32" width="9.140625" style="1549"/>
  </cols>
  <sheetData>
    <row r="1" spans="1:32" s="1284" customFormat="1" ht="11.25" hidden="1" customHeight="1">
      <c r="A1" s="899"/>
      <c r="C1" s="1553"/>
      <c r="D1" s="462"/>
      <c r="H1" s="1062">
        <v>4</v>
      </c>
      <c r="I1" s="1062">
        <v>4</v>
      </c>
      <c r="J1" s="1284">
        <v>4</v>
      </c>
      <c r="K1" s="1284">
        <v>4</v>
      </c>
      <c r="M1" s="1553"/>
      <c r="N1" s="1553"/>
      <c r="S1" s="1553"/>
    </row>
    <row r="2" spans="1:32" s="1284" customFormat="1" ht="22.5" hidden="1" customHeight="1">
      <c r="A2" s="899"/>
      <c r="C2" s="1553"/>
      <c r="D2" s="463"/>
      <c r="E2" s="1575"/>
      <c r="F2" s="465"/>
      <c r="G2" s="1574" t="s">
        <v>1717</v>
      </c>
      <c r="H2" s="466"/>
      <c r="I2" s="466"/>
      <c r="J2" s="664"/>
      <c r="K2" s="664"/>
      <c r="L2" s="467"/>
      <c r="M2" s="1553"/>
      <c r="N2" s="1553"/>
      <c r="S2" s="1553"/>
      <c r="V2" s="468"/>
      <c r="AB2" s="1549"/>
      <c r="AC2" s="1549"/>
      <c r="AD2" s="1549"/>
      <c r="AE2" s="1549"/>
      <c r="AF2" s="1549"/>
    </row>
    <row r="3" spans="1:32" ht="11.25" hidden="1" customHeight="1"/>
    <row r="4" spans="1:32" s="1549" customFormat="1" ht="11.25" hidden="1" customHeight="1">
      <c r="A4" s="899"/>
      <c r="B4" s="1062"/>
      <c r="C4" s="1553"/>
      <c r="D4" s="285"/>
      <c r="L4" s="1062"/>
      <c r="M4" s="1553"/>
      <c r="N4" s="1553"/>
      <c r="O4" s="1062"/>
      <c r="P4" s="1062"/>
      <c r="Q4" s="1062"/>
      <c r="R4" s="1062"/>
      <c r="S4" s="1553"/>
      <c r="T4" s="1062"/>
      <c r="U4" s="1062"/>
      <c r="V4" s="468"/>
      <c r="W4" s="1062"/>
      <c r="X4" s="1062"/>
      <c r="Y4" s="1062"/>
      <c r="Z4" s="1062"/>
      <c r="AA4" s="1062"/>
    </row>
    <row r="6" spans="1:32" ht="24" customHeight="1">
      <c r="E6" s="1867" t="s">
        <v>1791</v>
      </c>
      <c r="F6" s="1868"/>
      <c r="G6" s="1868"/>
      <c r="H6" s="1868"/>
      <c r="I6" s="1869"/>
      <c r="J6" s="1795"/>
      <c r="K6" s="1795"/>
    </row>
    <row r="7" spans="1:32" ht="24" customHeight="1">
      <c r="E7" s="1974" t="str">
        <f>IF(org=0,"Не определено",org)</f>
        <v>АО СЗ "КМАпроектжилстрой"</v>
      </c>
      <c r="F7" s="1975"/>
      <c r="G7" s="1975"/>
      <c r="H7" s="1975"/>
      <c r="I7" s="1976"/>
      <c r="J7" s="1796"/>
      <c r="K7" s="1796"/>
    </row>
    <row r="8" spans="1:32" ht="11.25" customHeight="1">
      <c r="E8" s="1039"/>
      <c r="F8" s="1039"/>
      <c r="G8" s="1039"/>
      <c r="H8" s="1039"/>
      <c r="I8" s="1039"/>
      <c r="J8" s="1040"/>
      <c r="K8" s="1040"/>
    </row>
    <row r="9" spans="1:32" s="1559" customFormat="1" ht="0.75" customHeight="1">
      <c r="A9" s="1069"/>
      <c r="H9" s="803"/>
      <c r="I9" s="803" t="s">
        <v>118</v>
      </c>
      <c r="J9" s="803" t="s">
        <v>123</v>
      </c>
      <c r="K9" s="803"/>
    </row>
    <row r="10" spans="1:32" ht="11.25" customHeight="1">
      <c r="E10" s="626"/>
      <c r="F10" s="2164" t="s">
        <v>105</v>
      </c>
      <c r="G10" s="2165"/>
      <c r="H10" s="1576" t="str">
        <f>IF(H9="","",INDEX(DIFFERENTIATION_UNMERGE_VD,MATCH(H9,DIFFERENTIATION_ID_DIFF,0)))</f>
        <v/>
      </c>
      <c r="I10" s="1576" t="str">
        <f>IF(I9="","",INDEX(DIFFERENTIATION_UNMERGE_VD,MATCH(I9,DIFFERENTIATION_ID_DIFF,0)))</f>
        <v>Холодное водоснабжение. Питьевая вода; Транспортировка. Питьевая вода; Подключение (технологическое присоединение) к централизованной системе водоснабжения</v>
      </c>
      <c r="J10" s="1805" t="str">
        <f>IF(J9="","",INDEX(DIFFERENTIATION_UNMERGE_VD,MATCH(J9,DIFFERENTIATION_ID_DIFF,0)))</f>
        <v>Холодное водоснабжение. Питьевая вода; Транспортировка. Питьевая вода; Подключение (технологическое присоединение) к централизованной системе водоснабжения</v>
      </c>
      <c r="K10" s="1805" t="str">
        <f>IF(K9="","",INDEX(DIFFERENTIATION_UNMERGE_VD,MATCH(K9,DIFFERENTIATION_ID_DIFF,0)))</f>
        <v/>
      </c>
    </row>
    <row r="11" spans="1:32" ht="11.25" customHeight="1">
      <c r="E11" s="626"/>
      <c r="F11" s="2164" t="s">
        <v>416</v>
      </c>
      <c r="G11" s="2165"/>
      <c r="H11" s="1576" t="str">
        <f>IF(H9="","",INDEX(DIFFERENTIATION_UNMERGE_AREA,MATCH(H9,DIFFERENTIATION_ID_DIFF,0)))</f>
        <v/>
      </c>
      <c r="I11" s="1576" t="str">
        <f>IF(I9="","",INDEX(DIFFERENTIATION_UNMERGE_AREA,MATCH(I9,DIFFERENTIATION_ID_DIFF,0)))</f>
        <v>без дифференциации</v>
      </c>
      <c r="J11" s="1805" t="str">
        <f>IF(J9="","",INDEX(DIFFERENTIATION_UNMERGE_AREA,MATCH(J9,DIFFERENTIATION_ID_DIFF,0)))</f>
        <v>без дифференциации</v>
      </c>
      <c r="K11" s="1805" t="str">
        <f>IF(K9="","",INDEX(DIFFERENTIATION_UNMERGE_AREA,MATCH(K9,DIFFERENTIATION_ID_DIFF,0)))</f>
        <v/>
      </c>
    </row>
    <row r="12" spans="1:32" ht="11.25" hidden="1" customHeight="1">
      <c r="E12" s="1579"/>
      <c r="F12" s="2198" t="s">
        <v>417</v>
      </c>
      <c r="G12" s="2199"/>
      <c r="H12" s="1580" t="str">
        <f>IF(H9="","",INDEX(DIFFERENTIATION_UNMERGE_SYSTEM,MATCH(H9,DIFFERENTIATION_ID_DIFF,0)))</f>
        <v/>
      </c>
      <c r="I12" s="1580" t="str">
        <f>IF(I9="","",INDEX(DIFFERENTIATION_UNMERGE_SYSTEM,MATCH(I9,DIFFERENTIATION_ID_DIFF,0)))</f>
        <v>Тереховский водозабор</v>
      </c>
      <c r="J12" s="1580" t="str">
        <f>IF(J9="","",INDEX(DIFFERENTIATION_UNMERGE_SYSTEM,MATCH(J9,DIFFERENTIATION_ID_DIFF,0)))</f>
        <v>Площадка цем/завода</v>
      </c>
      <c r="K12" s="1580" t="str">
        <f>IF(K9="","",INDEX(DIFFERENTIATION_UNMERGE_SYSTEM,MATCH(K9,DIFFERENTIATION_ID_DIFF,0)))</f>
        <v/>
      </c>
    </row>
    <row r="13" spans="1:32" ht="11.25" customHeight="1">
      <c r="E13" s="2166" t="s">
        <v>291</v>
      </c>
      <c r="F13" s="2167"/>
      <c r="G13" s="2167"/>
      <c r="H13" s="1573"/>
      <c r="I13" s="1573"/>
      <c r="J13" s="1801"/>
      <c r="K13" s="1801"/>
    </row>
    <row r="14" spans="1:32" ht="22.5" customHeight="1">
      <c r="E14" s="1574" t="s">
        <v>88</v>
      </c>
      <c r="F14" s="1577" t="s">
        <v>293</v>
      </c>
      <c r="G14" s="1577" t="s">
        <v>1614</v>
      </c>
      <c r="H14" s="1577" t="s">
        <v>294</v>
      </c>
      <c r="I14" s="1577" t="s">
        <v>294</v>
      </c>
      <c r="J14" s="1791" t="s">
        <v>294</v>
      </c>
      <c r="K14" s="1791" t="s">
        <v>294</v>
      </c>
    </row>
    <row r="15" spans="1:32" ht="18.75" customHeight="1">
      <c r="D15" s="1555"/>
      <c r="E15" s="1547" t="s">
        <v>109</v>
      </c>
      <c r="F15" s="622" t="s">
        <v>1792</v>
      </c>
      <c r="G15" s="1574" t="s">
        <v>1717</v>
      </c>
      <c r="H15" s="479"/>
      <c r="I15" s="479"/>
      <c r="J15" s="479"/>
      <c r="K15" s="479"/>
      <c r="L15" s="467" t="s">
        <v>1758</v>
      </c>
    </row>
    <row r="16" spans="1:32" ht="22.5" customHeight="1">
      <c r="D16" s="1555"/>
      <c r="E16" s="1547" t="s">
        <v>110</v>
      </c>
      <c r="F16" s="1582" t="s">
        <v>1793</v>
      </c>
      <c r="G16" s="1574" t="s">
        <v>1717</v>
      </c>
      <c r="H16" s="480">
        <f>SUM(H17,H20:H27)</f>
        <v>0</v>
      </c>
      <c r="I16" s="480">
        <f>SUM(I17,I20:I27)</f>
        <v>0</v>
      </c>
      <c r="J16" s="480">
        <f>SUM(J17,J20:J27)</f>
        <v>0</v>
      </c>
      <c r="K16" s="480">
        <f>SUM(K17,K20:K27)</f>
        <v>0</v>
      </c>
      <c r="L16" s="467" t="s">
        <v>1758</v>
      </c>
    </row>
    <row r="17" spans="1:32" ht="33.75" customHeight="1">
      <c r="D17" s="1555"/>
      <c r="E17" s="1581" t="s">
        <v>454</v>
      </c>
      <c r="F17" s="1584" t="s">
        <v>1794</v>
      </c>
      <c r="G17" s="1571" t="s">
        <v>1717</v>
      </c>
      <c r="H17" s="479"/>
      <c r="I17" s="479"/>
      <c r="J17" s="479"/>
      <c r="K17" s="479"/>
      <c r="L17" s="467"/>
    </row>
    <row r="18" spans="1:32" ht="18.75" customHeight="1">
      <c r="D18" s="1555"/>
      <c r="E18" s="1581" t="s">
        <v>456</v>
      </c>
      <c r="F18" s="1585" t="s">
        <v>1795</v>
      </c>
      <c r="G18" s="1571" t="s">
        <v>1717</v>
      </c>
      <c r="H18" s="479"/>
      <c r="I18" s="479"/>
      <c r="J18" s="479"/>
      <c r="K18" s="479"/>
      <c r="L18" s="467"/>
    </row>
    <row r="19" spans="1:32" ht="22.5" customHeight="1">
      <c r="D19" s="1555"/>
      <c r="E19" s="1581" t="s">
        <v>1762</v>
      </c>
      <c r="F19" s="1585" t="s">
        <v>1796</v>
      </c>
      <c r="G19" s="1571" t="s">
        <v>1717</v>
      </c>
      <c r="H19" s="479"/>
      <c r="I19" s="479"/>
      <c r="J19" s="479"/>
      <c r="K19" s="479"/>
      <c r="L19" s="467"/>
    </row>
    <row r="20" spans="1:32" ht="33.75" customHeight="1">
      <c r="D20" s="1555"/>
      <c r="E20" s="1581" t="s">
        <v>298</v>
      </c>
      <c r="F20" s="1584" t="s">
        <v>1797</v>
      </c>
      <c r="G20" s="1571" t="s">
        <v>1717</v>
      </c>
      <c r="H20" s="479"/>
      <c r="I20" s="479"/>
      <c r="J20" s="479"/>
      <c r="K20" s="479"/>
      <c r="L20" s="467"/>
    </row>
    <row r="21" spans="1:32" ht="33.75" customHeight="1">
      <c r="D21" s="1555"/>
      <c r="E21" s="1581" t="s">
        <v>301</v>
      </c>
      <c r="F21" s="1584" t="s">
        <v>1798</v>
      </c>
      <c r="G21" s="1571" t="s">
        <v>1717</v>
      </c>
      <c r="H21" s="479"/>
      <c r="I21" s="479"/>
      <c r="J21" s="479"/>
      <c r="K21" s="479"/>
      <c r="L21" s="467"/>
    </row>
    <row r="22" spans="1:32" ht="56.25" customHeight="1">
      <c r="D22" s="1555"/>
      <c r="E22" s="1581" t="s">
        <v>1365</v>
      </c>
      <c r="F22" s="1584" t="s">
        <v>1799</v>
      </c>
      <c r="G22" s="1571" t="s">
        <v>1717</v>
      </c>
      <c r="H22" s="479"/>
      <c r="I22" s="479"/>
      <c r="J22" s="479"/>
      <c r="K22" s="479"/>
      <c r="L22" s="467"/>
    </row>
    <row r="23" spans="1:32" ht="33.75" customHeight="1">
      <c r="D23" s="1555"/>
      <c r="E23" s="1581" t="s">
        <v>1367</v>
      </c>
      <c r="F23" s="1584" t="s">
        <v>1800</v>
      </c>
      <c r="G23" s="1571" t="s">
        <v>1717</v>
      </c>
      <c r="H23" s="479"/>
      <c r="I23" s="479"/>
      <c r="J23" s="479"/>
      <c r="K23" s="479"/>
      <c r="L23" s="467"/>
    </row>
    <row r="24" spans="1:32" ht="33.75" customHeight="1">
      <c r="D24" s="1555"/>
      <c r="E24" s="1581" t="s">
        <v>1381</v>
      </c>
      <c r="F24" s="1584" t="s">
        <v>1801</v>
      </c>
      <c r="G24" s="1571" t="s">
        <v>1717</v>
      </c>
      <c r="H24" s="479"/>
      <c r="I24" s="479"/>
      <c r="J24" s="479"/>
      <c r="K24" s="479"/>
      <c r="L24" s="467"/>
    </row>
    <row r="25" spans="1:32" ht="22.5" customHeight="1">
      <c r="D25" s="1555"/>
      <c r="E25" s="1581" t="s">
        <v>1392</v>
      </c>
      <c r="F25" s="1584" t="s">
        <v>1802</v>
      </c>
      <c r="G25" s="1571" t="s">
        <v>1717</v>
      </c>
      <c r="H25" s="479"/>
      <c r="I25" s="479"/>
      <c r="J25" s="479"/>
      <c r="K25" s="479"/>
      <c r="L25" s="467"/>
    </row>
    <row r="26" spans="1:32" ht="67.5" customHeight="1">
      <c r="D26" s="1555"/>
      <c r="E26" s="1581" t="s">
        <v>1403</v>
      </c>
      <c r="F26" s="1584" t="s">
        <v>1803</v>
      </c>
      <c r="G26" s="1571" t="s">
        <v>1717</v>
      </c>
      <c r="H26" s="479"/>
      <c r="I26" s="479"/>
      <c r="J26" s="479"/>
      <c r="K26" s="479"/>
      <c r="L26" s="467"/>
    </row>
    <row r="27" spans="1:32" s="1284" customFormat="1" ht="22.5" customHeight="1">
      <c r="A27" s="899"/>
      <c r="C27" s="1553"/>
      <c r="D27" s="1555"/>
      <c r="E27" s="1546" t="s">
        <v>1411</v>
      </c>
      <c r="F27" s="1545" t="s">
        <v>1804</v>
      </c>
      <c r="G27" s="1572" t="s">
        <v>1717</v>
      </c>
      <c r="H27" s="500">
        <f>SUM(H28:H29)</f>
        <v>0</v>
      </c>
      <c r="I27" s="500">
        <f>SUM(I28:I29)</f>
        <v>0</v>
      </c>
      <c r="J27" s="500">
        <f>SUM(J28:J29)</f>
        <v>0</v>
      </c>
      <c r="K27" s="500">
        <f>SUM(K28:K29)</f>
        <v>0</v>
      </c>
      <c r="L27" s="467"/>
      <c r="M27" s="1553"/>
      <c r="N27" s="1553"/>
      <c r="S27" s="1553"/>
      <c r="V27" s="468"/>
      <c r="AB27" s="1549"/>
      <c r="AC27" s="1549"/>
      <c r="AD27" s="1549"/>
      <c r="AE27" s="1549"/>
      <c r="AF27" s="1549"/>
    </row>
    <row r="28" spans="1:32" s="1559" customFormat="1" ht="0.75" customHeight="1">
      <c r="A28" s="1069"/>
      <c r="D28" s="472"/>
      <c r="E28" s="715" t="str">
        <f>E27&amp;".0"</f>
        <v>2.9.0</v>
      </c>
      <c r="F28" s="903"/>
      <c r="G28" s="475"/>
      <c r="H28" s="904"/>
      <c r="I28" s="904"/>
      <c r="J28" s="904"/>
      <c r="K28" s="904"/>
    </row>
    <row r="29" spans="1:32" s="1284" customFormat="1" ht="18.75" customHeight="1">
      <c r="A29" s="899"/>
      <c r="C29" s="1553"/>
      <c r="D29" s="1550"/>
      <c r="E29" s="491"/>
      <c r="F29" s="1583" t="s">
        <v>1730</v>
      </c>
      <c r="G29" s="493"/>
      <c r="H29" s="494"/>
      <c r="I29" s="494"/>
      <c r="J29" s="1833"/>
      <c r="K29" s="1834"/>
      <c r="L29" s="467"/>
      <c r="M29" s="1553"/>
      <c r="N29" s="1553"/>
      <c r="S29" s="1553"/>
      <c r="V29" s="468"/>
      <c r="AB29" s="1549"/>
      <c r="AC29" s="1549"/>
      <c r="AD29" s="1549"/>
      <c r="AE29" s="1549"/>
      <c r="AF29" s="1549"/>
    </row>
    <row r="30" spans="1:32" s="1284" customFormat="1" ht="22.5" customHeight="1">
      <c r="A30" s="899"/>
      <c r="C30" s="1553"/>
      <c r="D30" s="1555"/>
      <c r="E30" s="1581" t="s">
        <v>90</v>
      </c>
      <c r="F30" s="1578" t="s">
        <v>1805</v>
      </c>
      <c r="G30" s="1571" t="s">
        <v>1717</v>
      </c>
      <c r="H30" s="479"/>
      <c r="I30" s="479"/>
      <c r="J30" s="479"/>
      <c r="K30" s="479"/>
      <c r="L30" s="467"/>
      <c r="M30" s="1553"/>
      <c r="N30" s="1553"/>
      <c r="S30" s="1553"/>
      <c r="V30" s="468"/>
      <c r="AB30" s="1549"/>
      <c r="AC30" s="1549"/>
      <c r="AD30" s="1549"/>
      <c r="AE30" s="1549"/>
      <c r="AF30" s="1549"/>
    </row>
    <row r="31" spans="1:32" s="1284" customFormat="1" ht="33.75" customHeight="1">
      <c r="A31" s="899"/>
      <c r="C31" s="1553"/>
      <c r="D31" s="496"/>
      <c r="E31" s="1581" t="s">
        <v>91</v>
      </c>
      <c r="F31" s="1578" t="s">
        <v>1806</v>
      </c>
      <c r="G31" s="1571" t="s">
        <v>1717</v>
      </c>
      <c r="H31" s="479"/>
      <c r="I31" s="479"/>
      <c r="J31" s="479"/>
      <c r="K31" s="479"/>
      <c r="L31" s="467"/>
      <c r="M31" s="1553"/>
      <c r="N31" s="1553"/>
      <c r="S31" s="1553"/>
      <c r="V31" s="468"/>
      <c r="AB31" s="1549"/>
      <c r="AC31" s="1549"/>
      <c r="AD31" s="1549"/>
      <c r="AE31" s="1549"/>
      <c r="AF31" s="1549"/>
    </row>
    <row r="32" spans="1:32" s="1284" customFormat="1" ht="22.5" customHeight="1">
      <c r="A32" s="899"/>
      <c r="C32" s="1553"/>
      <c r="D32" s="1555"/>
      <c r="E32" s="1581" t="s">
        <v>1464</v>
      </c>
      <c r="F32" s="606" t="s">
        <v>1781</v>
      </c>
      <c r="G32" s="1571" t="s">
        <v>1717</v>
      </c>
      <c r="H32" s="479"/>
      <c r="I32" s="479"/>
      <c r="J32" s="479"/>
      <c r="K32" s="479"/>
      <c r="L32" s="467"/>
      <c r="M32" s="1553"/>
      <c r="N32" s="1553"/>
      <c r="S32" s="1553"/>
      <c r="V32" s="468"/>
      <c r="AB32" s="1549"/>
      <c r="AC32" s="1549"/>
      <c r="AD32" s="1549"/>
      <c r="AE32" s="1549"/>
      <c r="AF32" s="1549"/>
    </row>
    <row r="33" spans="1:32" s="1284" customFormat="1" ht="22.5" customHeight="1">
      <c r="A33" s="899"/>
      <c r="C33" s="1553"/>
      <c r="D33" s="1555"/>
      <c r="E33" s="1581" t="s">
        <v>1481</v>
      </c>
      <c r="F33" s="606" t="s">
        <v>1807</v>
      </c>
      <c r="G33" s="1571" t="s">
        <v>1717</v>
      </c>
      <c r="H33" s="479"/>
      <c r="I33" s="479"/>
      <c r="J33" s="479"/>
      <c r="K33" s="479"/>
      <c r="L33" s="467"/>
      <c r="M33" s="1553"/>
      <c r="N33" s="1553"/>
      <c r="S33" s="1553"/>
      <c r="V33" s="468"/>
      <c r="AB33" s="1549"/>
      <c r="AC33" s="1549"/>
      <c r="AD33" s="1549"/>
      <c r="AE33" s="1549"/>
      <c r="AF33" s="1549"/>
    </row>
    <row r="34" spans="1:32" s="1284" customFormat="1" ht="22.5" customHeight="1">
      <c r="A34" s="899"/>
      <c r="C34" s="1553"/>
      <c r="D34" s="1555"/>
      <c r="E34" s="1581" t="s">
        <v>1629</v>
      </c>
      <c r="F34" s="606" t="s">
        <v>1784</v>
      </c>
      <c r="G34" s="1571" t="s">
        <v>1717</v>
      </c>
      <c r="H34" s="479"/>
      <c r="I34" s="479"/>
      <c r="J34" s="479"/>
      <c r="K34" s="479"/>
      <c r="L34" s="467"/>
      <c r="M34" s="1553"/>
      <c r="N34" s="1553"/>
      <c r="S34" s="1553"/>
      <c r="V34" s="468"/>
      <c r="AB34" s="1549"/>
      <c r="AC34" s="1549"/>
      <c r="AD34" s="1549"/>
      <c r="AE34" s="1549"/>
      <c r="AF34" s="1549"/>
    </row>
    <row r="35" spans="1:32" s="1284" customFormat="1" ht="33.75" customHeight="1">
      <c r="A35" s="899"/>
      <c r="C35" s="1553" t="s">
        <v>1738</v>
      </c>
      <c r="D35" s="1555"/>
      <c r="E35" s="1581" t="s">
        <v>111</v>
      </c>
      <c r="F35" s="1578" t="s">
        <v>1487</v>
      </c>
      <c r="G35" s="1574" t="s">
        <v>297</v>
      </c>
      <c r="H35" s="331"/>
      <c r="I35" s="331"/>
      <c r="J35" s="731"/>
      <c r="K35" s="731"/>
      <c r="L35" s="467"/>
      <c r="M35" s="1553"/>
      <c r="N35" s="1553"/>
      <c r="S35" s="1553"/>
      <c r="V35" s="468"/>
      <c r="AB35" s="1549"/>
      <c r="AC35" s="1549"/>
      <c r="AD35" s="1549"/>
      <c r="AE35" s="1549"/>
      <c r="AF35" s="1549"/>
    </row>
    <row r="36" spans="1:32" s="1284" customFormat="1" ht="22.5" customHeight="1">
      <c r="A36" s="899"/>
      <c r="C36" s="1553"/>
      <c r="D36" s="1555"/>
      <c r="E36" s="1581" t="s">
        <v>92</v>
      </c>
      <c r="F36" s="1578" t="s">
        <v>1808</v>
      </c>
      <c r="G36" s="1571" t="s">
        <v>1787</v>
      </c>
      <c r="H36" s="469"/>
      <c r="I36" s="469"/>
      <c r="J36" s="469"/>
      <c r="K36" s="469"/>
      <c r="L36" s="467"/>
      <c r="M36" s="1553"/>
      <c r="N36" s="1553"/>
      <c r="S36" s="1553"/>
      <c r="V36" s="468"/>
      <c r="AB36" s="1549"/>
      <c r="AC36" s="1549"/>
      <c r="AD36" s="1549"/>
      <c r="AE36" s="1549"/>
      <c r="AF36" s="1549"/>
    </row>
    <row r="37" spans="1:32" s="1284" customFormat="1" ht="22.5" customHeight="1">
      <c r="A37" s="899"/>
      <c r="C37" s="1553"/>
      <c r="D37" s="1555"/>
      <c r="E37" s="1581" t="s">
        <v>93</v>
      </c>
      <c r="F37" s="1578" t="s">
        <v>1809</v>
      </c>
      <c r="G37" s="1571" t="s">
        <v>1789</v>
      </c>
      <c r="H37" s="469"/>
      <c r="I37" s="469"/>
      <c r="J37" s="469"/>
      <c r="K37" s="469"/>
      <c r="L37" s="467"/>
      <c r="M37" s="1553"/>
      <c r="N37" s="1553"/>
      <c r="S37" s="1553"/>
      <c r="V37" s="468"/>
      <c r="AB37" s="1549"/>
      <c r="AC37" s="1549"/>
      <c r="AD37" s="1549"/>
      <c r="AE37" s="1549"/>
      <c r="AF37" s="1549"/>
    </row>
    <row r="38" spans="1:32" ht="11.25" customHeight="1">
      <c r="D38" s="1555"/>
    </row>
    <row r="39" spans="1:32" ht="26.25" customHeight="1">
      <c r="D39" s="1555"/>
      <c r="E39" s="1166" t="s">
        <v>508</v>
      </c>
      <c r="F39" s="2075" t="s">
        <v>1810</v>
      </c>
      <c r="G39" s="2075"/>
      <c r="H39" s="2075"/>
      <c r="I39" s="2075"/>
      <c r="J39" s="2075"/>
      <c r="K39" s="2075"/>
    </row>
    <row r="40" spans="1:32" s="1558" customFormat="1" ht="37.5" customHeight="1">
      <c r="A40" s="899"/>
      <c r="B40" s="1553"/>
      <c r="C40" s="1553"/>
      <c r="D40" s="272"/>
      <c r="F40" s="2075" t="s">
        <v>1811</v>
      </c>
      <c r="G40" s="2075"/>
      <c r="H40" s="2075"/>
      <c r="I40" s="2075"/>
      <c r="J40" s="2075"/>
      <c r="K40" s="2075"/>
      <c r="L40" s="1062"/>
      <c r="M40" s="1553"/>
      <c r="N40" s="1553"/>
      <c r="O40" s="1062"/>
      <c r="P40" s="1062"/>
      <c r="Q40" s="1062"/>
      <c r="R40" s="1062"/>
      <c r="S40" s="1553"/>
      <c r="T40" s="1062"/>
      <c r="U40" s="1062"/>
      <c r="V40" s="468"/>
      <c r="W40" s="1062"/>
      <c r="X40" s="1062"/>
      <c r="Y40" s="1062"/>
      <c r="Z40" s="1062"/>
      <c r="AA40" s="1062"/>
      <c r="AB40" s="1549"/>
      <c r="AC40" s="487"/>
      <c r="AD40" s="487"/>
      <c r="AE40" s="487"/>
      <c r="AF40" s="487"/>
    </row>
    <row r="41" spans="1:32" s="1558" customFormat="1" ht="11.25" customHeight="1">
      <c r="A41" s="899"/>
      <c r="B41" s="1553"/>
      <c r="C41" s="1553"/>
      <c r="D41" s="272"/>
      <c r="L41" s="1062"/>
      <c r="M41" s="1553"/>
      <c r="N41" s="1553"/>
      <c r="O41" s="1062"/>
      <c r="P41" s="1062"/>
      <c r="Q41" s="1062"/>
      <c r="R41" s="1062"/>
      <c r="S41" s="1553"/>
      <c r="T41" s="1062"/>
      <c r="U41" s="1062"/>
      <c r="V41" s="468"/>
      <c r="W41" s="1062"/>
      <c r="X41" s="1062"/>
      <c r="Y41" s="1062"/>
      <c r="Z41" s="1062"/>
      <c r="AA41" s="1062"/>
      <c r="AB41" s="1549"/>
      <c r="AC41" s="487"/>
      <c r="AD41" s="487"/>
      <c r="AE41" s="487"/>
      <c r="AF41" s="487"/>
    </row>
    <row r="42" spans="1:32" s="1558" customFormat="1" ht="11.25" customHeight="1">
      <c r="A42" s="899"/>
      <c r="B42" s="1553"/>
      <c r="C42" s="1553"/>
      <c r="D42" s="272"/>
      <c r="L42" s="1062"/>
      <c r="M42" s="1553"/>
      <c r="N42" s="1553"/>
      <c r="O42" s="1062"/>
      <c r="P42" s="1062"/>
      <c r="Q42" s="1062"/>
      <c r="R42" s="1062"/>
      <c r="S42" s="1553"/>
      <c r="T42" s="1062"/>
      <c r="U42" s="1062"/>
      <c r="V42" s="468"/>
      <c r="W42" s="1062"/>
      <c r="X42" s="1062"/>
      <c r="Y42" s="1062"/>
      <c r="Z42" s="1062"/>
      <c r="AA42" s="1062"/>
      <c r="AB42" s="1549"/>
      <c r="AC42" s="487"/>
      <c r="AD42" s="487"/>
      <c r="AE42" s="487"/>
      <c r="AF42" s="487"/>
    </row>
    <row r="43" spans="1:32" s="1558" customFormat="1" ht="11.25" customHeight="1">
      <c r="A43" s="899"/>
      <c r="B43" s="1553"/>
      <c r="C43" s="1553"/>
      <c r="D43" s="272"/>
      <c r="H43" s="487"/>
      <c r="I43" s="487"/>
      <c r="J43" s="539"/>
      <c r="K43" s="539"/>
      <c r="L43" s="1062"/>
      <c r="M43" s="1553"/>
      <c r="N43" s="1553"/>
      <c r="O43" s="1062"/>
      <c r="P43" s="1062"/>
      <c r="Q43" s="1062"/>
      <c r="R43" s="1062"/>
      <c r="S43" s="1553"/>
      <c r="T43" s="1062"/>
      <c r="U43" s="1062"/>
      <c r="V43" s="468"/>
      <c r="W43" s="1062"/>
      <c r="X43" s="1062"/>
      <c r="Y43" s="1062"/>
      <c r="Z43" s="1062"/>
      <c r="AA43" s="1062"/>
      <c r="AB43" s="1549"/>
      <c r="AC43" s="487"/>
      <c r="AD43" s="487"/>
      <c r="AE43" s="487"/>
      <c r="AF43" s="487"/>
    </row>
    <row r="44" spans="1:32" s="1558" customFormat="1" ht="11.25" customHeight="1">
      <c r="A44" s="899"/>
      <c r="B44" s="1553"/>
      <c r="C44" s="1553"/>
      <c r="D44" s="272"/>
      <c r="L44" s="1062"/>
      <c r="M44" s="1553"/>
      <c r="N44" s="1553"/>
      <c r="O44" s="1062"/>
      <c r="P44" s="1062"/>
      <c r="Q44" s="1062"/>
      <c r="R44" s="1062"/>
      <c r="S44" s="1553"/>
      <c r="T44" s="1062"/>
      <c r="U44" s="1062"/>
      <c r="V44" s="468"/>
      <c r="W44" s="1062"/>
      <c r="X44" s="1062"/>
      <c r="Y44" s="1062"/>
      <c r="Z44" s="1062"/>
      <c r="AA44" s="1062"/>
      <c r="AB44" s="1549"/>
      <c r="AC44" s="487"/>
      <c r="AD44" s="487"/>
      <c r="AE44" s="487"/>
      <c r="AF44" s="487"/>
    </row>
    <row r="45" spans="1:32" s="1558" customFormat="1" ht="11.25" customHeight="1">
      <c r="A45" s="899"/>
      <c r="B45" s="1553"/>
      <c r="C45" s="1553"/>
      <c r="D45" s="272"/>
      <c r="L45" s="1062"/>
      <c r="M45" s="1553"/>
      <c r="N45" s="1553"/>
      <c r="O45" s="1062"/>
      <c r="P45" s="1062"/>
      <c r="Q45" s="1062"/>
      <c r="R45" s="1062"/>
      <c r="S45" s="1553"/>
      <c r="T45" s="1062"/>
      <c r="U45" s="1062"/>
      <c r="V45" s="468"/>
      <c r="W45" s="1062"/>
      <c r="X45" s="1062"/>
      <c r="Y45" s="1062"/>
      <c r="Z45" s="1062"/>
      <c r="AA45" s="1062"/>
      <c r="AB45" s="1549"/>
      <c r="AC45" s="487"/>
      <c r="AD45" s="487"/>
      <c r="AE45" s="487"/>
      <c r="AF45" s="487"/>
    </row>
    <row r="46" spans="1:32" s="1558" customFormat="1" ht="11.25" customHeight="1">
      <c r="A46" s="899"/>
      <c r="B46" s="1553"/>
      <c r="C46" s="1553"/>
      <c r="D46" s="272"/>
      <c r="L46" s="1062"/>
      <c r="M46" s="1553"/>
      <c r="N46" s="1553"/>
      <c r="O46" s="1062"/>
      <c r="P46" s="1062"/>
      <c r="Q46" s="1062"/>
      <c r="R46" s="1062"/>
      <c r="S46" s="1553"/>
      <c r="T46" s="1062"/>
      <c r="U46" s="1062"/>
      <c r="V46" s="468"/>
      <c r="W46" s="1062"/>
      <c r="X46" s="1062"/>
      <c r="Y46" s="1062"/>
      <c r="Z46" s="1062"/>
      <c r="AA46" s="1062"/>
      <c r="AB46" s="1549"/>
      <c r="AC46" s="487"/>
      <c r="AD46" s="487"/>
      <c r="AE46" s="487"/>
      <c r="AF46" s="487"/>
    </row>
    <row r="47" spans="1:32" s="1558" customFormat="1" ht="11.25" customHeight="1">
      <c r="A47" s="899"/>
      <c r="B47" s="1553"/>
      <c r="C47" s="1553"/>
      <c r="D47" s="272"/>
      <c r="L47" s="1062"/>
      <c r="M47" s="1553"/>
      <c r="N47" s="1553"/>
      <c r="O47" s="1062"/>
      <c r="P47" s="1062"/>
      <c r="Q47" s="1062"/>
      <c r="R47" s="1062"/>
      <c r="S47" s="1553"/>
      <c r="T47" s="1062"/>
      <c r="U47" s="1062"/>
      <c r="V47" s="468"/>
      <c r="W47" s="1062"/>
      <c r="X47" s="1062"/>
      <c r="Y47" s="1062"/>
      <c r="Z47" s="1062"/>
      <c r="AA47" s="1062"/>
      <c r="AB47" s="1549"/>
      <c r="AC47" s="487"/>
      <c r="AD47" s="487"/>
      <c r="AE47" s="487"/>
      <c r="AF47" s="487"/>
    </row>
    <row r="48" spans="1:32" s="1558" customFormat="1" ht="11.25" customHeight="1">
      <c r="A48" s="899"/>
      <c r="B48" s="1553"/>
      <c r="C48" s="1553"/>
      <c r="D48" s="272"/>
      <c r="L48" s="1062"/>
      <c r="M48" s="1553"/>
      <c r="N48" s="1553"/>
      <c r="O48" s="1062"/>
      <c r="P48" s="1062"/>
      <c r="Q48" s="1062"/>
      <c r="R48" s="1062"/>
      <c r="S48" s="1553"/>
      <c r="T48" s="1062"/>
      <c r="U48" s="1062"/>
      <c r="V48" s="468"/>
      <c r="W48" s="1062"/>
      <c r="X48" s="1062"/>
      <c r="Y48" s="1062"/>
      <c r="Z48" s="1062"/>
      <c r="AA48" s="1062"/>
      <c r="AB48" s="1549"/>
      <c r="AC48" s="487"/>
      <c r="AD48" s="487"/>
      <c r="AE48" s="487"/>
      <c r="AF48" s="487"/>
    </row>
    <row r="49" spans="1:32" s="1558" customFormat="1" ht="11.25" customHeight="1">
      <c r="A49" s="899"/>
      <c r="B49" s="1553"/>
      <c r="C49" s="1553"/>
      <c r="D49" s="272"/>
      <c r="L49" s="1062"/>
      <c r="M49" s="1553"/>
      <c r="N49" s="1553"/>
      <c r="O49" s="1062"/>
      <c r="P49" s="1062"/>
      <c r="Q49" s="1062"/>
      <c r="R49" s="1062"/>
      <c r="S49" s="1553"/>
      <c r="T49" s="1062"/>
      <c r="U49" s="1062"/>
      <c r="V49" s="468"/>
      <c r="W49" s="1062"/>
      <c r="X49" s="1062"/>
      <c r="Y49" s="1062"/>
      <c r="Z49" s="1062"/>
      <c r="AA49" s="1062"/>
      <c r="AB49" s="1549"/>
      <c r="AC49" s="487"/>
      <c r="AD49" s="487"/>
      <c r="AE49" s="487"/>
      <c r="AF49" s="487"/>
    </row>
    <row r="50" spans="1:32" s="1558" customFormat="1" ht="11.25" customHeight="1">
      <c r="A50" s="899"/>
      <c r="B50" s="1553"/>
      <c r="C50" s="1553"/>
      <c r="D50" s="272"/>
      <c r="L50" s="1062"/>
      <c r="M50" s="1553"/>
      <c r="N50" s="1553"/>
      <c r="O50" s="1062"/>
      <c r="P50" s="1062"/>
      <c r="Q50" s="1062"/>
      <c r="R50" s="1062"/>
      <c r="S50" s="1553"/>
      <c r="T50" s="1062"/>
      <c r="U50" s="1062"/>
      <c r="V50" s="468"/>
      <c r="W50" s="1062"/>
      <c r="X50" s="1062"/>
      <c r="Y50" s="1062"/>
      <c r="Z50" s="1062"/>
      <c r="AA50" s="1062"/>
      <c r="AB50" s="1549"/>
      <c r="AC50" s="487"/>
      <c r="AD50" s="487"/>
      <c r="AE50" s="487"/>
      <c r="AF50" s="487"/>
    </row>
    <row r="51" spans="1:32" s="1558" customFormat="1" ht="11.25" customHeight="1">
      <c r="A51" s="899"/>
      <c r="B51" s="1553"/>
      <c r="C51" s="1553"/>
      <c r="D51" s="272"/>
      <c r="L51" s="1062"/>
      <c r="M51" s="1553"/>
      <c r="N51" s="1553"/>
      <c r="O51" s="1062"/>
      <c r="P51" s="1062"/>
      <c r="Q51" s="1062"/>
      <c r="R51" s="1062"/>
      <c r="S51" s="1553"/>
      <c r="T51" s="1062"/>
      <c r="U51" s="1062"/>
      <c r="V51" s="468"/>
      <c r="W51" s="1062"/>
      <c r="X51" s="1062"/>
      <c r="Y51" s="1062"/>
      <c r="Z51" s="1062"/>
      <c r="AA51" s="1062"/>
      <c r="AB51" s="1549"/>
      <c r="AC51" s="487"/>
      <c r="AD51" s="487"/>
      <c r="AE51" s="487"/>
      <c r="AF51" s="487"/>
    </row>
    <row r="52" spans="1:32" s="1558" customFormat="1" ht="11.25" customHeight="1">
      <c r="A52" s="899"/>
      <c r="B52" s="1553"/>
      <c r="C52" s="1553"/>
      <c r="D52" s="272"/>
      <c r="L52" s="1062"/>
      <c r="M52" s="1553"/>
      <c r="N52" s="1553"/>
      <c r="O52" s="1062"/>
      <c r="P52" s="1062"/>
      <c r="Q52" s="1062"/>
      <c r="R52" s="1062"/>
      <c r="S52" s="1553"/>
      <c r="T52" s="1062"/>
      <c r="U52" s="1062"/>
      <c r="V52" s="468"/>
      <c r="W52" s="1062"/>
      <c r="X52" s="1062"/>
      <c r="Y52" s="1062"/>
      <c r="Z52" s="1062"/>
      <c r="AA52" s="1062"/>
      <c r="AB52" s="1549"/>
      <c r="AC52" s="487"/>
      <c r="AD52" s="487"/>
      <c r="AE52" s="487"/>
      <c r="AF52" s="487"/>
    </row>
    <row r="53" spans="1:32" s="1558" customFormat="1" ht="11.25" customHeight="1">
      <c r="A53" s="899"/>
      <c r="B53" s="1553"/>
      <c r="C53" s="1553"/>
      <c r="D53" s="272"/>
      <c r="L53" s="1062"/>
      <c r="M53" s="1553"/>
      <c r="N53" s="1553"/>
      <c r="O53" s="1062"/>
      <c r="P53" s="1062"/>
      <c r="Q53" s="1062"/>
      <c r="R53" s="1062"/>
      <c r="S53" s="1553"/>
      <c r="T53" s="1062"/>
      <c r="U53" s="1062"/>
      <c r="V53" s="468"/>
      <c r="W53" s="1062"/>
      <c r="X53" s="1062"/>
      <c r="Y53" s="1062"/>
      <c r="Z53" s="1062"/>
      <c r="AA53" s="1062"/>
      <c r="AB53" s="1549"/>
      <c r="AC53" s="487"/>
      <c r="AD53" s="487"/>
      <c r="AE53" s="487"/>
      <c r="AF53" s="487"/>
    </row>
    <row r="54" spans="1:32" s="1558" customFormat="1" ht="11.25" customHeight="1">
      <c r="A54" s="899"/>
      <c r="B54" s="1553"/>
      <c r="C54" s="1553"/>
      <c r="D54" s="272"/>
      <c r="L54" s="1062"/>
      <c r="M54" s="1553"/>
      <c r="N54" s="1553"/>
      <c r="O54" s="1062"/>
      <c r="P54" s="1062"/>
      <c r="Q54" s="1062"/>
      <c r="R54" s="1062"/>
      <c r="S54" s="1553"/>
      <c r="T54" s="1062"/>
      <c r="U54" s="1062"/>
      <c r="V54" s="468"/>
      <c r="W54" s="1062"/>
      <c r="X54" s="1062"/>
      <c r="Y54" s="1062"/>
      <c r="Z54" s="1062"/>
      <c r="AA54" s="1062"/>
      <c r="AB54" s="1549"/>
      <c r="AC54" s="487"/>
      <c r="AD54" s="487"/>
      <c r="AE54" s="487"/>
      <c r="AF54" s="487"/>
    </row>
    <row r="55" spans="1:32" s="1558" customFormat="1" ht="11.25" customHeight="1">
      <c r="A55" s="899"/>
      <c r="B55" s="1553"/>
      <c r="C55" s="1553"/>
      <c r="D55" s="272"/>
      <c r="L55" s="1062"/>
      <c r="M55" s="1553"/>
      <c r="N55" s="1553"/>
      <c r="O55" s="1062"/>
      <c r="P55" s="1062"/>
      <c r="Q55" s="1062"/>
      <c r="R55" s="1062"/>
      <c r="S55" s="1553"/>
      <c r="T55" s="1062"/>
      <c r="U55" s="1062"/>
      <c r="V55" s="468"/>
      <c r="W55" s="1062"/>
      <c r="X55" s="1062"/>
      <c r="Y55" s="1062"/>
      <c r="Z55" s="1062"/>
      <c r="AA55" s="1062"/>
      <c r="AB55" s="1549"/>
      <c r="AC55" s="487"/>
      <c r="AD55" s="487"/>
      <c r="AE55" s="487"/>
      <c r="AF55" s="487"/>
    </row>
    <row r="56" spans="1:32" s="1558" customFormat="1" ht="11.25" customHeight="1">
      <c r="A56" s="899"/>
      <c r="B56" s="1553"/>
      <c r="C56" s="1553"/>
      <c r="D56" s="272"/>
      <c r="L56" s="1062"/>
      <c r="M56" s="1553"/>
      <c r="N56" s="1553"/>
      <c r="O56" s="1062"/>
      <c r="P56" s="1062"/>
      <c r="Q56" s="1062"/>
      <c r="R56" s="1062"/>
      <c r="S56" s="1553"/>
      <c r="T56" s="1062"/>
      <c r="U56" s="1062"/>
      <c r="V56" s="468"/>
      <c r="W56" s="1062"/>
      <c r="X56" s="1062"/>
      <c r="Y56" s="1062"/>
      <c r="Z56" s="1062"/>
      <c r="AA56" s="1062"/>
      <c r="AB56" s="1549"/>
      <c r="AC56" s="487"/>
      <c r="AD56" s="487"/>
      <c r="AE56" s="487"/>
      <c r="AF56" s="487"/>
    </row>
    <row r="57" spans="1:32" s="1558" customFormat="1" ht="11.25" customHeight="1">
      <c r="A57" s="899"/>
      <c r="B57" s="1553"/>
      <c r="C57" s="1553"/>
      <c r="D57" s="272"/>
      <c r="L57" s="1062"/>
      <c r="M57" s="1553"/>
      <c r="N57" s="1553"/>
      <c r="O57" s="1062"/>
      <c r="P57" s="1062"/>
      <c r="Q57" s="1062"/>
      <c r="R57" s="1062"/>
      <c r="S57" s="1553"/>
      <c r="T57" s="1062"/>
      <c r="U57" s="1062"/>
      <c r="V57" s="468"/>
      <c r="W57" s="1062"/>
      <c r="X57" s="1062"/>
      <c r="Y57" s="1062"/>
      <c r="Z57" s="1062"/>
      <c r="AA57" s="1062"/>
      <c r="AB57" s="1549"/>
      <c r="AC57" s="487"/>
      <c r="AD57" s="487"/>
      <c r="AE57" s="487"/>
      <c r="AF57" s="487"/>
    </row>
    <row r="58" spans="1:32" s="1558" customFormat="1" ht="11.25" customHeight="1">
      <c r="A58" s="899"/>
      <c r="B58" s="1553"/>
      <c r="C58" s="1553"/>
      <c r="D58" s="272"/>
      <c r="L58" s="1062"/>
      <c r="M58" s="1553"/>
      <c r="N58" s="1553"/>
      <c r="O58" s="1062"/>
      <c r="P58" s="1062"/>
      <c r="Q58" s="1062"/>
      <c r="R58" s="1062"/>
      <c r="S58" s="1553"/>
      <c r="T58" s="1062"/>
      <c r="U58" s="1062"/>
      <c r="V58" s="468"/>
      <c r="W58" s="1062"/>
      <c r="X58" s="1062"/>
      <c r="Y58" s="1062"/>
      <c r="Z58" s="1062"/>
      <c r="AA58" s="1062"/>
      <c r="AB58" s="1549"/>
      <c r="AC58" s="487"/>
      <c r="AD58" s="487"/>
      <c r="AE58" s="487"/>
      <c r="AF58" s="487"/>
    </row>
    <row r="59" spans="1:32" s="1558" customFormat="1" ht="11.25" customHeight="1">
      <c r="A59" s="899"/>
      <c r="B59" s="1553"/>
      <c r="C59" s="1553"/>
      <c r="D59" s="272"/>
      <c r="L59" s="1062"/>
      <c r="M59" s="1553"/>
      <c r="N59" s="1553"/>
      <c r="O59" s="1062"/>
      <c r="P59" s="1062"/>
      <c r="Q59" s="1062"/>
      <c r="R59" s="1062"/>
      <c r="S59" s="1553"/>
      <c r="T59" s="1062"/>
      <c r="U59" s="1062"/>
      <c r="V59" s="468"/>
      <c r="W59" s="1062"/>
      <c r="X59" s="1062"/>
      <c r="Y59" s="1062"/>
      <c r="Z59" s="1062"/>
      <c r="AA59" s="1062"/>
      <c r="AB59" s="1549"/>
      <c r="AC59" s="487"/>
      <c r="AD59" s="487"/>
      <c r="AE59" s="487"/>
      <c r="AF59" s="487"/>
    </row>
    <row r="60" spans="1:32" s="1558" customFormat="1" ht="11.25" customHeight="1">
      <c r="A60" s="899"/>
      <c r="B60" s="1553"/>
      <c r="C60" s="1553"/>
      <c r="D60" s="272"/>
      <c r="L60" s="1062"/>
      <c r="M60" s="1553"/>
      <c r="N60" s="1553"/>
      <c r="O60" s="1062"/>
      <c r="P60" s="1062"/>
      <c r="Q60" s="1062"/>
      <c r="R60" s="1062"/>
      <c r="S60" s="1553"/>
      <c r="T60" s="1062"/>
      <c r="U60" s="1062"/>
      <c r="V60" s="468"/>
      <c r="W60" s="1062"/>
      <c r="X60" s="1062"/>
      <c r="Y60" s="1062"/>
      <c r="Z60" s="1062"/>
      <c r="AA60" s="1062"/>
      <c r="AB60" s="1549"/>
      <c r="AC60" s="487"/>
      <c r="AD60" s="487"/>
      <c r="AE60" s="487"/>
      <c r="AF60" s="487"/>
    </row>
    <row r="61" spans="1:32" s="1558" customFormat="1" ht="11.25" customHeight="1">
      <c r="A61" s="899"/>
      <c r="B61" s="1553"/>
      <c r="C61" s="1553"/>
      <c r="D61" s="272"/>
      <c r="L61" s="1062"/>
      <c r="M61" s="1553"/>
      <c r="N61" s="1553"/>
      <c r="O61" s="1062"/>
      <c r="P61" s="1062"/>
      <c r="Q61" s="1062"/>
      <c r="R61" s="1062"/>
      <c r="S61" s="1553"/>
      <c r="T61" s="1062"/>
      <c r="U61" s="1062"/>
      <c r="V61" s="468"/>
      <c r="W61" s="1062"/>
      <c r="X61" s="1062"/>
      <c r="Y61" s="1062"/>
      <c r="Z61" s="1062"/>
      <c r="AA61" s="1062"/>
      <c r="AB61" s="1549"/>
      <c r="AC61" s="487"/>
      <c r="AD61" s="487"/>
      <c r="AE61" s="487"/>
      <c r="AF61" s="487"/>
    </row>
    <row r="62" spans="1:32" s="1558" customFormat="1" ht="11.25" customHeight="1">
      <c r="A62" s="899"/>
      <c r="B62" s="1553"/>
      <c r="C62" s="1553"/>
      <c r="D62" s="272"/>
      <c r="L62" s="1062"/>
      <c r="M62" s="1553"/>
      <c r="N62" s="1553"/>
      <c r="O62" s="1062"/>
      <c r="P62" s="1062"/>
      <c r="Q62" s="1062"/>
      <c r="R62" s="1062"/>
      <c r="S62" s="1553"/>
      <c r="T62" s="1062"/>
      <c r="U62" s="1062"/>
      <c r="V62" s="468"/>
      <c r="W62" s="1062"/>
      <c r="X62" s="1062"/>
      <c r="Y62" s="1062"/>
      <c r="Z62" s="1062"/>
      <c r="AA62" s="1062"/>
      <c r="AB62" s="1549"/>
      <c r="AC62" s="487"/>
      <c r="AD62" s="487"/>
      <c r="AE62" s="487"/>
      <c r="AF62" s="487"/>
    </row>
    <row r="63" spans="1:32" s="1558" customFormat="1" ht="11.25" customHeight="1">
      <c r="A63" s="899"/>
      <c r="B63" s="1553"/>
      <c r="C63" s="1553"/>
      <c r="D63" s="272"/>
      <c r="L63" s="1062"/>
      <c r="M63" s="1553"/>
      <c r="N63" s="1553"/>
      <c r="O63" s="1062"/>
      <c r="P63" s="1062"/>
      <c r="Q63" s="1062"/>
      <c r="R63" s="1062"/>
      <c r="S63" s="1553"/>
      <c r="T63" s="1062"/>
      <c r="U63" s="1062"/>
      <c r="V63" s="468"/>
      <c r="W63" s="1062"/>
      <c r="X63" s="1062"/>
      <c r="Y63" s="1062"/>
      <c r="Z63" s="1062"/>
      <c r="AA63" s="1062"/>
      <c r="AB63" s="1549"/>
      <c r="AC63" s="487"/>
      <c r="AD63" s="487"/>
      <c r="AE63" s="487"/>
      <c r="AF63" s="487"/>
    </row>
    <row r="64" spans="1:32" s="1558" customFormat="1" ht="11.25" customHeight="1">
      <c r="A64" s="899"/>
      <c r="B64" s="1553"/>
      <c r="C64" s="1553"/>
      <c r="D64" s="272"/>
      <c r="L64" s="1062"/>
      <c r="M64" s="1553"/>
      <c r="N64" s="1553"/>
      <c r="O64" s="1062"/>
      <c r="P64" s="1062"/>
      <c r="Q64" s="1062"/>
      <c r="R64" s="1062"/>
      <c r="S64" s="1553"/>
      <c r="T64" s="1062"/>
      <c r="U64" s="1062"/>
      <c r="V64" s="468"/>
      <c r="W64" s="1062"/>
      <c r="X64" s="1062"/>
      <c r="Y64" s="1062"/>
      <c r="Z64" s="1062"/>
      <c r="AA64" s="1062"/>
      <c r="AB64" s="1549"/>
      <c r="AC64" s="487"/>
      <c r="AD64" s="487"/>
      <c r="AE64" s="487"/>
      <c r="AF64" s="487"/>
    </row>
    <row r="65" spans="1:32" s="1558" customFormat="1" ht="11.25" customHeight="1">
      <c r="A65" s="899"/>
      <c r="B65" s="1553"/>
      <c r="C65" s="1553"/>
      <c r="D65" s="272"/>
      <c r="L65" s="1062"/>
      <c r="M65" s="1553"/>
      <c r="N65" s="1553"/>
      <c r="O65" s="1062"/>
      <c r="P65" s="1062"/>
      <c r="Q65" s="1062"/>
      <c r="R65" s="1062"/>
      <c r="S65" s="1553"/>
      <c r="T65" s="1062"/>
      <c r="U65" s="1062"/>
      <c r="V65" s="468"/>
      <c r="W65" s="1062"/>
      <c r="X65" s="1062"/>
      <c r="Y65" s="1062"/>
      <c r="Z65" s="1062"/>
      <c r="AA65" s="1062"/>
      <c r="AB65" s="1549"/>
      <c r="AC65" s="487"/>
      <c r="AD65" s="487"/>
      <c r="AE65" s="487"/>
      <c r="AF65" s="487"/>
    </row>
    <row r="66" spans="1:32" s="1558" customFormat="1" ht="11.25" customHeight="1">
      <c r="A66" s="899"/>
      <c r="B66" s="1553"/>
      <c r="C66" s="1553"/>
      <c r="D66" s="272"/>
      <c r="L66" s="1062"/>
      <c r="M66" s="1553"/>
      <c r="N66" s="1553"/>
      <c r="O66" s="1062"/>
      <c r="P66" s="1062"/>
      <c r="Q66" s="1062"/>
      <c r="R66" s="1062"/>
      <c r="S66" s="1553"/>
      <c r="T66" s="1062"/>
      <c r="U66" s="1062"/>
      <c r="V66" s="468"/>
      <c r="W66" s="1062"/>
      <c r="X66" s="1062"/>
      <c r="Y66" s="1062"/>
      <c r="Z66" s="1062"/>
      <c r="AA66" s="1062"/>
      <c r="AB66" s="1549"/>
      <c r="AC66" s="487"/>
      <c r="AD66" s="487"/>
      <c r="AE66" s="487"/>
      <c r="AF66" s="487"/>
    </row>
    <row r="67" spans="1:32" s="1558" customFormat="1" ht="11.25" customHeight="1">
      <c r="A67" s="899"/>
      <c r="B67" s="1553"/>
      <c r="C67" s="1553"/>
      <c r="D67" s="272"/>
      <c r="L67" s="1062"/>
      <c r="M67" s="1553"/>
      <c r="N67" s="1553"/>
      <c r="O67" s="1062"/>
      <c r="P67" s="1062"/>
      <c r="Q67" s="1062"/>
      <c r="R67" s="1062"/>
      <c r="S67" s="1553"/>
      <c r="T67" s="1062"/>
      <c r="U67" s="1062"/>
      <c r="V67" s="468"/>
      <c r="W67" s="1062"/>
      <c r="X67" s="1062"/>
      <c r="Y67" s="1062"/>
      <c r="Z67" s="1062"/>
      <c r="AA67" s="1062"/>
      <c r="AB67" s="1549"/>
      <c r="AC67" s="487"/>
      <c r="AD67" s="487"/>
      <c r="AE67" s="487"/>
      <c r="AF67" s="487"/>
    </row>
    <row r="68" spans="1:32" s="1558" customFormat="1" ht="11.25" customHeight="1">
      <c r="A68" s="899"/>
      <c r="B68" s="1553"/>
      <c r="C68" s="1553"/>
      <c r="D68" s="272"/>
      <c r="L68" s="1062"/>
      <c r="M68" s="1553"/>
      <c r="N68" s="1553"/>
      <c r="O68" s="1062"/>
      <c r="P68" s="1062"/>
      <c r="Q68" s="1062"/>
      <c r="R68" s="1062"/>
      <c r="S68" s="1553"/>
      <c r="T68" s="1062"/>
      <c r="U68" s="1062"/>
      <c r="V68" s="468"/>
      <c r="W68" s="1062"/>
      <c r="X68" s="1062"/>
      <c r="Y68" s="1062"/>
      <c r="Z68" s="1062"/>
      <c r="AA68" s="1062"/>
      <c r="AB68" s="1549"/>
      <c r="AC68" s="487"/>
      <c r="AD68" s="487"/>
      <c r="AE68" s="487"/>
      <c r="AF68" s="487"/>
    </row>
    <row r="69" spans="1:32" s="1558" customFormat="1" ht="11.25" customHeight="1">
      <c r="A69" s="899"/>
      <c r="B69" s="1553"/>
      <c r="C69" s="1553"/>
      <c r="D69" s="272"/>
      <c r="L69" s="1062"/>
      <c r="M69" s="1553"/>
      <c r="N69" s="1553"/>
      <c r="O69" s="1062"/>
      <c r="P69" s="1062"/>
      <c r="Q69" s="1062"/>
      <c r="R69" s="1062"/>
      <c r="S69" s="1553"/>
      <c r="T69" s="1062"/>
      <c r="U69" s="1062"/>
      <c r="V69" s="468"/>
      <c r="W69" s="1062"/>
      <c r="X69" s="1062"/>
      <c r="Y69" s="1062"/>
      <c r="Z69" s="1062"/>
      <c r="AA69" s="1062"/>
      <c r="AB69" s="1549"/>
      <c r="AC69" s="487"/>
      <c r="AD69" s="487"/>
      <c r="AE69" s="487"/>
      <c r="AF69" s="487"/>
    </row>
    <row r="70" spans="1:32" s="1558" customFormat="1" ht="11.25" customHeight="1">
      <c r="A70" s="899"/>
      <c r="B70" s="1553"/>
      <c r="C70" s="1553"/>
      <c r="D70" s="272"/>
      <c r="L70" s="1062"/>
      <c r="M70" s="1553"/>
      <c r="N70" s="1553"/>
      <c r="O70" s="1062"/>
      <c r="P70" s="1062"/>
      <c r="Q70" s="1062"/>
      <c r="R70" s="1062"/>
      <c r="S70" s="1553"/>
      <c r="T70" s="1062"/>
      <c r="U70" s="1062"/>
      <c r="V70" s="468"/>
      <c r="W70" s="1062"/>
      <c r="X70" s="1062"/>
      <c r="Y70" s="1062"/>
      <c r="Z70" s="1062"/>
      <c r="AA70" s="1062"/>
      <c r="AB70" s="1549"/>
      <c r="AC70" s="487"/>
      <c r="AD70" s="487"/>
      <c r="AE70" s="487"/>
      <c r="AF70" s="487"/>
    </row>
    <row r="71" spans="1:32" s="1558" customFormat="1" ht="11.25" customHeight="1">
      <c r="A71" s="899"/>
      <c r="B71" s="1553"/>
      <c r="C71" s="1553"/>
      <c r="D71" s="272"/>
      <c r="L71" s="1062"/>
      <c r="M71" s="1553"/>
      <c r="N71" s="1553"/>
      <c r="O71" s="1062"/>
      <c r="P71" s="1062"/>
      <c r="Q71" s="1062"/>
      <c r="R71" s="1062"/>
      <c r="S71" s="1553"/>
      <c r="T71" s="1062"/>
      <c r="U71" s="1062"/>
      <c r="V71" s="468"/>
      <c r="W71" s="1062"/>
      <c r="X71" s="1062"/>
      <c r="Y71" s="1062"/>
      <c r="Z71" s="1062"/>
      <c r="AA71" s="1062"/>
      <c r="AB71" s="1549"/>
      <c r="AC71" s="487"/>
      <c r="AD71" s="487"/>
      <c r="AE71" s="487"/>
      <c r="AF71" s="487"/>
    </row>
    <row r="72" spans="1:32" s="1558" customFormat="1" ht="11.25" customHeight="1">
      <c r="A72" s="899"/>
      <c r="B72" s="1553"/>
      <c r="C72" s="1553"/>
      <c r="D72" s="272"/>
      <c r="L72" s="1062"/>
      <c r="M72" s="1553"/>
      <c r="N72" s="1553"/>
      <c r="O72" s="1062"/>
      <c r="P72" s="1062"/>
      <c r="Q72" s="1062"/>
      <c r="R72" s="1062"/>
      <c r="S72" s="1553"/>
      <c r="T72" s="1062"/>
      <c r="U72" s="1062"/>
      <c r="V72" s="468"/>
      <c r="W72" s="1062"/>
      <c r="X72" s="1062"/>
      <c r="Y72" s="1062"/>
      <c r="Z72" s="1062"/>
      <c r="AA72" s="1062"/>
      <c r="AB72" s="1549"/>
      <c r="AC72" s="487"/>
      <c r="AD72" s="487"/>
      <c r="AE72" s="487"/>
      <c r="AF72" s="487"/>
    </row>
    <row r="73" spans="1:32" s="1558" customFormat="1" ht="11.25" customHeight="1">
      <c r="A73" s="899"/>
      <c r="B73" s="1553"/>
      <c r="C73" s="1553"/>
      <c r="D73" s="272"/>
      <c r="L73" s="1062"/>
      <c r="M73" s="1553"/>
      <c r="N73" s="1553"/>
      <c r="O73" s="1062"/>
      <c r="P73" s="1062"/>
      <c r="Q73" s="1062"/>
      <c r="R73" s="1062"/>
      <c r="S73" s="1553"/>
      <c r="T73" s="1062"/>
      <c r="U73" s="1062"/>
      <c r="V73" s="468"/>
      <c r="W73" s="1062"/>
      <c r="X73" s="1062"/>
      <c r="Y73" s="1062"/>
      <c r="Z73" s="1062"/>
      <c r="AA73" s="1062"/>
      <c r="AB73" s="1549"/>
      <c r="AC73" s="487"/>
      <c r="AD73" s="487"/>
      <c r="AE73" s="487"/>
      <c r="AF73" s="487"/>
    </row>
    <row r="74" spans="1:32" s="1558" customFormat="1" ht="11.25" customHeight="1">
      <c r="A74" s="899"/>
      <c r="B74" s="1553"/>
      <c r="C74" s="1553"/>
      <c r="D74" s="272"/>
      <c r="L74" s="1062"/>
      <c r="M74" s="1553"/>
      <c r="N74" s="1553"/>
      <c r="O74" s="1062"/>
      <c r="P74" s="1062"/>
      <c r="Q74" s="1062"/>
      <c r="R74" s="1062"/>
      <c r="S74" s="1553"/>
      <c r="T74" s="1062"/>
      <c r="U74" s="1062"/>
      <c r="V74" s="468"/>
      <c r="W74" s="1062"/>
      <c r="X74" s="1062"/>
      <c r="Y74" s="1062"/>
      <c r="Z74" s="1062"/>
      <c r="AA74" s="1062"/>
      <c r="AB74" s="1549"/>
      <c r="AC74" s="487"/>
      <c r="AD74" s="487"/>
      <c r="AE74" s="487"/>
      <c r="AF74" s="487"/>
    </row>
    <row r="75" spans="1:32" s="1558" customFormat="1" ht="11.25" customHeight="1">
      <c r="A75" s="899"/>
      <c r="B75" s="1553"/>
      <c r="C75" s="1553"/>
      <c r="D75" s="272"/>
      <c r="L75" s="1062"/>
      <c r="M75" s="1553"/>
      <c r="N75" s="1553"/>
      <c r="O75" s="1062"/>
      <c r="P75" s="1062"/>
      <c r="Q75" s="1062"/>
      <c r="R75" s="1062"/>
      <c r="S75" s="1553"/>
      <c r="T75" s="1062"/>
      <c r="U75" s="1062"/>
      <c r="V75" s="468"/>
      <c r="W75" s="1062"/>
      <c r="X75" s="1062"/>
      <c r="Y75" s="1062"/>
      <c r="Z75" s="1062"/>
      <c r="AA75" s="1062"/>
      <c r="AB75" s="1549"/>
      <c r="AC75" s="487"/>
      <c r="AD75" s="487"/>
      <c r="AE75" s="487"/>
      <c r="AF75" s="487"/>
    </row>
    <row r="76" spans="1:32" s="1558" customFormat="1" ht="11.25" customHeight="1">
      <c r="A76" s="899"/>
      <c r="B76" s="1553"/>
      <c r="C76" s="1553"/>
      <c r="D76" s="272"/>
      <c r="L76" s="1062"/>
      <c r="M76" s="1553"/>
      <c r="N76" s="1553"/>
      <c r="O76" s="1062"/>
      <c r="P76" s="1062"/>
      <c r="Q76" s="1062"/>
      <c r="R76" s="1062"/>
      <c r="S76" s="1553"/>
      <c r="T76" s="1062"/>
      <c r="U76" s="1062"/>
      <c r="V76" s="468"/>
      <c r="W76" s="1062"/>
      <c r="X76" s="1062"/>
      <c r="Y76" s="1062"/>
      <c r="Z76" s="1062"/>
      <c r="AA76" s="1062"/>
      <c r="AB76" s="1549"/>
      <c r="AC76" s="487"/>
      <c r="AD76" s="487"/>
      <c r="AE76" s="487"/>
      <c r="AF76" s="487"/>
    </row>
    <row r="77" spans="1:32" s="1558" customFormat="1" ht="11.25" customHeight="1">
      <c r="A77" s="899"/>
      <c r="B77" s="1553"/>
      <c r="C77" s="1553"/>
      <c r="D77" s="272"/>
      <c r="L77" s="1062"/>
      <c r="M77" s="1553"/>
      <c r="N77" s="1553"/>
      <c r="O77" s="1062"/>
      <c r="P77" s="1062"/>
      <c r="Q77" s="1062"/>
      <c r="R77" s="1062"/>
      <c r="S77" s="1553"/>
      <c r="T77" s="1062"/>
      <c r="U77" s="1062"/>
      <c r="V77" s="468"/>
      <c r="W77" s="1062"/>
      <c r="X77" s="1062"/>
      <c r="Y77" s="1062"/>
      <c r="Z77" s="1062"/>
      <c r="AA77" s="1062"/>
      <c r="AB77" s="1549"/>
      <c r="AC77" s="487"/>
      <c r="AD77" s="487"/>
      <c r="AE77" s="487"/>
      <c r="AF77" s="487"/>
    </row>
    <row r="78" spans="1:32" s="1558" customFormat="1" ht="11.25" customHeight="1">
      <c r="A78" s="899"/>
      <c r="B78" s="1553"/>
      <c r="C78" s="1553"/>
      <c r="D78" s="272"/>
      <c r="L78" s="1062"/>
      <c r="M78" s="1553"/>
      <c r="N78" s="1553"/>
      <c r="O78" s="1062"/>
      <c r="P78" s="1062"/>
      <c r="Q78" s="1062"/>
      <c r="R78" s="1062"/>
      <c r="S78" s="1553"/>
      <c r="T78" s="1062"/>
      <c r="U78" s="1062"/>
      <c r="V78" s="468"/>
      <c r="W78" s="1062"/>
      <c r="X78" s="1062"/>
      <c r="Y78" s="1062"/>
      <c r="Z78" s="1062"/>
      <c r="AA78" s="1062"/>
      <c r="AB78" s="1549"/>
      <c r="AC78" s="487"/>
      <c r="AD78" s="487"/>
      <c r="AE78" s="487"/>
      <c r="AF78" s="487"/>
    </row>
    <row r="79" spans="1:32" s="1558" customFormat="1" ht="11.25" customHeight="1">
      <c r="A79" s="899"/>
      <c r="B79" s="1553"/>
      <c r="C79" s="1553"/>
      <c r="D79" s="272"/>
      <c r="L79" s="1062"/>
      <c r="M79" s="1553"/>
      <c r="N79" s="1553"/>
      <c r="O79" s="1062"/>
      <c r="P79" s="1062"/>
      <c r="Q79" s="1062"/>
      <c r="R79" s="1062"/>
      <c r="S79" s="1553"/>
      <c r="T79" s="1062"/>
      <c r="U79" s="1062"/>
      <c r="V79" s="468"/>
      <c r="W79" s="1062"/>
      <c r="X79" s="1062"/>
      <c r="Y79" s="1062"/>
      <c r="Z79" s="1062"/>
      <c r="AA79" s="1062"/>
      <c r="AB79" s="1549"/>
      <c r="AC79" s="487"/>
      <c r="AD79" s="487"/>
      <c r="AE79" s="487"/>
      <c r="AF79" s="487"/>
    </row>
    <row r="80" spans="1:32" s="1558" customFormat="1" ht="11.25" customHeight="1">
      <c r="A80" s="899"/>
      <c r="B80" s="1553"/>
      <c r="C80" s="1553"/>
      <c r="D80" s="272"/>
      <c r="L80" s="1062"/>
      <c r="M80" s="1553"/>
      <c r="N80" s="1553"/>
      <c r="O80" s="1062"/>
      <c r="P80" s="1062"/>
      <c r="Q80" s="1062"/>
      <c r="R80" s="1062"/>
      <c r="S80" s="1553"/>
      <c r="T80" s="1062"/>
      <c r="U80" s="1062"/>
      <c r="V80" s="468"/>
      <c r="W80" s="1062"/>
      <c r="X80" s="1062"/>
      <c r="Y80" s="1062"/>
      <c r="Z80" s="1062"/>
      <c r="AA80" s="1062"/>
      <c r="AB80" s="1549"/>
      <c r="AC80" s="487"/>
      <c r="AD80" s="487"/>
      <c r="AE80" s="487"/>
      <c r="AF80" s="487"/>
    </row>
    <row r="81" spans="1:32" s="1558" customFormat="1" ht="11.25" customHeight="1">
      <c r="A81" s="899"/>
      <c r="B81" s="1553"/>
      <c r="C81" s="1553"/>
      <c r="D81" s="272"/>
      <c r="L81" s="1062"/>
      <c r="M81" s="1553"/>
      <c r="N81" s="1553"/>
      <c r="O81" s="1062"/>
      <c r="P81" s="1062"/>
      <c r="Q81" s="1062"/>
      <c r="R81" s="1062"/>
      <c r="S81" s="1553"/>
      <c r="T81" s="1062"/>
      <c r="U81" s="1062"/>
      <c r="V81" s="468"/>
      <c r="W81" s="1062"/>
      <c r="X81" s="1062"/>
      <c r="Y81" s="1062"/>
      <c r="Z81" s="1062"/>
      <c r="AA81" s="1062"/>
      <c r="AB81" s="1549"/>
      <c r="AC81" s="487"/>
      <c r="AD81" s="487"/>
      <c r="AE81" s="487"/>
      <c r="AF81" s="487"/>
    </row>
    <row r="82" spans="1:32" s="1558" customFormat="1" ht="11.25" customHeight="1">
      <c r="A82" s="899"/>
      <c r="B82" s="1553"/>
      <c r="C82" s="1553"/>
      <c r="D82" s="272"/>
      <c r="L82" s="1062"/>
      <c r="M82" s="1553"/>
      <c r="N82" s="1553"/>
      <c r="O82" s="1062"/>
      <c r="P82" s="1062"/>
      <c r="Q82" s="1062"/>
      <c r="R82" s="1062"/>
      <c r="S82" s="1553"/>
      <c r="T82" s="1062"/>
      <c r="U82" s="1062"/>
      <c r="V82" s="468"/>
      <c r="W82" s="1062"/>
      <c r="X82" s="1062"/>
      <c r="Y82" s="1062"/>
      <c r="Z82" s="1062"/>
      <c r="AA82" s="1062"/>
      <c r="AB82" s="1549"/>
      <c r="AC82" s="487"/>
      <c r="AD82" s="487"/>
      <c r="AE82" s="487"/>
      <c r="AF82" s="487"/>
    </row>
    <row r="83" spans="1:32" s="1558" customFormat="1" ht="11.25" customHeight="1">
      <c r="A83" s="899"/>
      <c r="B83" s="1553"/>
      <c r="C83" s="1553"/>
      <c r="D83" s="272"/>
      <c r="L83" s="1062"/>
      <c r="M83" s="1553"/>
      <c r="N83" s="1553"/>
      <c r="O83" s="1062"/>
      <c r="P83" s="1062"/>
      <c r="Q83" s="1062"/>
      <c r="R83" s="1062"/>
      <c r="S83" s="1553"/>
      <c r="T83" s="1062"/>
      <c r="U83" s="1062"/>
      <c r="V83" s="468"/>
      <c r="W83" s="1062"/>
      <c r="X83" s="1062"/>
      <c r="Y83" s="1062"/>
      <c r="Z83" s="1062"/>
      <c r="AA83" s="1062"/>
      <c r="AB83" s="1549"/>
      <c r="AC83" s="487"/>
      <c r="AD83" s="487"/>
      <c r="AE83" s="487"/>
      <c r="AF83" s="487"/>
    </row>
    <row r="84" spans="1:32" s="1558" customFormat="1" ht="11.25" customHeight="1">
      <c r="A84" s="899"/>
      <c r="B84" s="1553"/>
      <c r="C84" s="1553"/>
      <c r="D84" s="272"/>
      <c r="L84" s="1062"/>
      <c r="M84" s="1553"/>
      <c r="N84" s="1553"/>
      <c r="O84" s="1062"/>
      <c r="P84" s="1062"/>
      <c r="Q84" s="1062"/>
      <c r="R84" s="1062"/>
      <c r="S84" s="1553"/>
      <c r="T84" s="1062"/>
      <c r="U84" s="1062"/>
      <c r="V84" s="468"/>
      <c r="W84" s="1062"/>
      <c r="X84" s="1062"/>
      <c r="Y84" s="1062"/>
      <c r="Z84" s="1062"/>
      <c r="AA84" s="1062"/>
      <c r="AB84" s="1549"/>
      <c r="AC84" s="487"/>
      <c r="AD84" s="487"/>
      <c r="AE84" s="487"/>
      <c r="AF84" s="487"/>
    </row>
    <row r="85" spans="1:32" s="1558" customFormat="1" ht="11.25" customHeight="1">
      <c r="A85" s="899"/>
      <c r="B85" s="1553"/>
      <c r="C85" s="1553"/>
      <c r="D85" s="272"/>
      <c r="L85" s="1062"/>
      <c r="M85" s="1553"/>
      <c r="N85" s="1553"/>
      <c r="O85" s="1062"/>
      <c r="P85" s="1062"/>
      <c r="Q85" s="1062"/>
      <c r="R85" s="1062"/>
      <c r="S85" s="1553"/>
      <c r="T85" s="1062"/>
      <c r="U85" s="1062"/>
      <c r="V85" s="468"/>
      <c r="W85" s="1062"/>
      <c r="X85" s="1062"/>
      <c r="Y85" s="1062"/>
      <c r="Z85" s="1062"/>
      <c r="AA85" s="1062"/>
      <c r="AB85" s="1549"/>
      <c r="AC85" s="487"/>
      <c r="AD85" s="487"/>
      <c r="AE85" s="487"/>
      <c r="AF85" s="487"/>
    </row>
    <row r="86" spans="1:32" s="1558" customFormat="1" ht="11.25" customHeight="1">
      <c r="A86" s="899"/>
      <c r="B86" s="1553"/>
      <c r="C86" s="1553"/>
      <c r="D86" s="272"/>
      <c r="L86" s="1062"/>
      <c r="M86" s="1553"/>
      <c r="N86" s="1553"/>
      <c r="O86" s="1062"/>
      <c r="P86" s="1062"/>
      <c r="Q86" s="1062"/>
      <c r="R86" s="1062"/>
      <c r="S86" s="1553"/>
      <c r="T86" s="1062"/>
      <c r="U86" s="1062"/>
      <c r="V86" s="468"/>
      <c r="W86" s="1062"/>
      <c r="X86" s="1062"/>
      <c r="Y86" s="1062"/>
      <c r="Z86" s="1062"/>
      <c r="AA86" s="1062"/>
      <c r="AB86" s="1549"/>
      <c r="AC86" s="487"/>
      <c r="AD86" s="487"/>
      <c r="AE86" s="487"/>
      <c r="AF86" s="487"/>
    </row>
    <row r="87" spans="1:32" s="1558" customFormat="1" ht="11.25" customHeight="1">
      <c r="A87" s="899"/>
      <c r="B87" s="1553"/>
      <c r="C87" s="1553"/>
      <c r="D87" s="272"/>
      <c r="L87" s="1062"/>
      <c r="M87" s="1553"/>
      <c r="N87" s="1553"/>
      <c r="O87" s="1062"/>
      <c r="P87" s="1062"/>
      <c r="Q87" s="1062"/>
      <c r="R87" s="1062"/>
      <c r="S87" s="1553"/>
      <c r="T87" s="1062"/>
      <c r="U87" s="1062"/>
      <c r="V87" s="468"/>
      <c r="W87" s="1062"/>
      <c r="X87" s="1062"/>
      <c r="Y87" s="1062"/>
      <c r="Z87" s="1062"/>
      <c r="AA87" s="1062"/>
      <c r="AB87" s="1549"/>
      <c r="AC87" s="487"/>
      <c r="AD87" s="487"/>
      <c r="AE87" s="487"/>
      <c r="AF87" s="487"/>
    </row>
    <row r="88" spans="1:32" s="1558" customFormat="1" ht="11.25" customHeight="1">
      <c r="A88" s="899"/>
      <c r="B88" s="1553"/>
      <c r="C88" s="1553"/>
      <c r="D88" s="272"/>
      <c r="L88" s="1062"/>
      <c r="M88" s="1553"/>
      <c r="N88" s="1553"/>
      <c r="O88" s="1062"/>
      <c r="P88" s="1062"/>
      <c r="Q88" s="1062"/>
      <c r="R88" s="1062"/>
      <c r="S88" s="1553"/>
      <c r="T88" s="1062"/>
      <c r="U88" s="1062"/>
      <c r="V88" s="468"/>
      <c r="W88" s="1062"/>
      <c r="X88" s="1062"/>
      <c r="Y88" s="1062"/>
      <c r="Z88" s="1062"/>
      <c r="AA88" s="1062"/>
      <c r="AB88" s="1549"/>
      <c r="AC88" s="487"/>
      <c r="AD88" s="487"/>
      <c r="AE88" s="487"/>
      <c r="AF88" s="487"/>
    </row>
    <row r="89" spans="1:32" s="1558" customFormat="1" ht="11.25" customHeight="1">
      <c r="A89" s="899"/>
      <c r="B89" s="1553"/>
      <c r="C89" s="1553"/>
      <c r="D89" s="272"/>
      <c r="L89" s="1062"/>
      <c r="M89" s="1553"/>
      <c r="N89" s="1553"/>
      <c r="O89" s="1062"/>
      <c r="P89" s="1062"/>
      <c r="Q89" s="1062"/>
      <c r="R89" s="1062"/>
      <c r="S89" s="1553"/>
      <c r="T89" s="1062"/>
      <c r="U89" s="1062"/>
      <c r="V89" s="468"/>
      <c r="W89" s="1062"/>
      <c r="X89" s="1062"/>
      <c r="Y89" s="1062"/>
      <c r="Z89" s="1062"/>
      <c r="AA89" s="1062"/>
      <c r="AB89" s="1549"/>
      <c r="AC89" s="487"/>
      <c r="AD89" s="487"/>
      <c r="AE89" s="487"/>
      <c r="AF89" s="487"/>
    </row>
    <row r="90" spans="1:32" s="1558" customFormat="1" ht="11.25" customHeight="1">
      <c r="A90" s="899"/>
      <c r="B90" s="1553"/>
      <c r="C90" s="1553"/>
      <c r="D90" s="272"/>
      <c r="L90" s="1062"/>
      <c r="M90" s="1553"/>
      <c r="N90" s="1553"/>
      <c r="O90" s="1062"/>
      <c r="P90" s="1062"/>
      <c r="Q90" s="1062"/>
      <c r="R90" s="1062"/>
      <c r="S90" s="1553"/>
      <c r="T90" s="1062"/>
      <c r="U90" s="1062"/>
      <c r="V90" s="468"/>
      <c r="W90" s="1062"/>
      <c r="X90" s="1062"/>
      <c r="Y90" s="1062"/>
      <c r="Z90" s="1062"/>
      <c r="AA90" s="1062"/>
      <c r="AB90" s="1549"/>
      <c r="AC90" s="487"/>
      <c r="AD90" s="487"/>
      <c r="AE90" s="487"/>
      <c r="AF90" s="487"/>
    </row>
    <row r="91" spans="1:32" s="1558" customFormat="1" ht="11.25" customHeight="1">
      <c r="A91" s="899"/>
      <c r="B91" s="1553"/>
      <c r="C91" s="1553"/>
      <c r="D91" s="272"/>
      <c r="L91" s="1062"/>
      <c r="M91" s="1553"/>
      <c r="N91" s="1553"/>
      <c r="O91" s="1062"/>
      <c r="P91" s="1062"/>
      <c r="Q91" s="1062"/>
      <c r="R91" s="1062"/>
      <c r="S91" s="1553"/>
      <c r="T91" s="1062"/>
      <c r="U91" s="1062"/>
      <c r="V91" s="468"/>
      <c r="W91" s="1062"/>
      <c r="X91" s="1062"/>
      <c r="Y91" s="1062"/>
      <c r="Z91" s="1062"/>
      <c r="AA91" s="1062"/>
      <c r="AB91" s="1549"/>
      <c r="AC91" s="487"/>
      <c r="AD91" s="487"/>
      <c r="AE91" s="487"/>
      <c r="AF91" s="487"/>
    </row>
    <row r="92" spans="1:32" s="1558" customFormat="1" ht="11.25" customHeight="1">
      <c r="A92" s="899"/>
      <c r="B92" s="1553"/>
      <c r="C92" s="1553"/>
      <c r="D92" s="272"/>
      <c r="L92" s="1062"/>
      <c r="M92" s="1553"/>
      <c r="N92" s="1553"/>
      <c r="O92" s="1062"/>
      <c r="P92" s="1062"/>
      <c r="Q92" s="1062"/>
      <c r="R92" s="1062"/>
      <c r="S92" s="1553"/>
      <c r="T92" s="1062"/>
      <c r="U92" s="1062"/>
      <c r="V92" s="468"/>
      <c r="W92" s="1062"/>
      <c r="X92" s="1062"/>
      <c r="Y92" s="1062"/>
      <c r="Z92" s="1062"/>
      <c r="AA92" s="1062"/>
      <c r="AB92" s="1549"/>
      <c r="AC92" s="487"/>
      <c r="AD92" s="487"/>
      <c r="AE92" s="487"/>
      <c r="AF92" s="487"/>
    </row>
    <row r="93" spans="1:32" s="1558" customFormat="1" ht="11.25" customHeight="1">
      <c r="A93" s="899"/>
      <c r="B93" s="1553"/>
      <c r="C93" s="1553"/>
      <c r="D93" s="272"/>
      <c r="L93" s="1062"/>
      <c r="M93" s="1553"/>
      <c r="N93" s="1553"/>
      <c r="O93" s="1062"/>
      <c r="P93" s="1062"/>
      <c r="Q93" s="1062"/>
      <c r="R93" s="1062"/>
      <c r="S93" s="1553"/>
      <c r="T93" s="1062"/>
      <c r="U93" s="1062"/>
      <c r="V93" s="468"/>
      <c r="W93" s="1062"/>
      <c r="X93" s="1062"/>
      <c r="Y93" s="1062"/>
      <c r="Z93" s="1062"/>
      <c r="AA93" s="1062"/>
      <c r="AB93" s="1549"/>
      <c r="AC93" s="487"/>
      <c r="AD93" s="487"/>
      <c r="AE93" s="487"/>
      <c r="AF93" s="487"/>
    </row>
    <row r="94" spans="1:32" s="1558" customFormat="1" ht="11.25" customHeight="1">
      <c r="A94" s="899"/>
      <c r="B94" s="1553"/>
      <c r="C94" s="1553"/>
      <c r="D94" s="272"/>
      <c r="L94" s="1062"/>
      <c r="M94" s="1553"/>
      <c r="N94" s="1553"/>
      <c r="O94" s="1062"/>
      <c r="P94" s="1062"/>
      <c r="Q94" s="1062"/>
      <c r="R94" s="1062"/>
      <c r="S94" s="1553"/>
      <c r="T94" s="1062"/>
      <c r="U94" s="1062"/>
      <c r="V94" s="468"/>
      <c r="W94" s="1062"/>
      <c r="X94" s="1062"/>
      <c r="Y94" s="1062"/>
      <c r="Z94" s="1062"/>
      <c r="AA94" s="1062"/>
      <c r="AB94" s="1549"/>
      <c r="AC94" s="487"/>
      <c r="AD94" s="487"/>
      <c r="AE94" s="487"/>
      <c r="AF94" s="487"/>
    </row>
    <row r="95" spans="1:32" s="1558" customFormat="1" ht="11.25" customHeight="1">
      <c r="A95" s="899"/>
      <c r="B95" s="1553"/>
      <c r="C95" s="1553"/>
      <c r="D95" s="272"/>
      <c r="L95" s="1062"/>
      <c r="M95" s="1553"/>
      <c r="N95" s="1553"/>
      <c r="O95" s="1062"/>
      <c r="P95" s="1062"/>
      <c r="Q95" s="1062"/>
      <c r="R95" s="1062"/>
      <c r="S95" s="1553"/>
      <c r="T95" s="1062"/>
      <c r="U95" s="1062"/>
      <c r="V95" s="468"/>
      <c r="W95" s="1062"/>
      <c r="X95" s="1062"/>
      <c r="Y95" s="1062"/>
      <c r="Z95" s="1062"/>
      <c r="AA95" s="1062"/>
      <c r="AB95" s="1549"/>
      <c r="AC95" s="487"/>
      <c r="AD95" s="487"/>
      <c r="AE95" s="487"/>
      <c r="AF95" s="487"/>
    </row>
    <row r="96" spans="1:32" s="1558" customFormat="1" ht="11.25" customHeight="1">
      <c r="A96" s="899"/>
      <c r="B96" s="1553"/>
      <c r="C96" s="1553"/>
      <c r="D96" s="272"/>
      <c r="L96" s="1062"/>
      <c r="M96" s="1553"/>
      <c r="N96" s="1553"/>
      <c r="O96" s="1062"/>
      <c r="P96" s="1062"/>
      <c r="Q96" s="1062"/>
      <c r="R96" s="1062"/>
      <c r="S96" s="1553"/>
      <c r="T96" s="1062"/>
      <c r="U96" s="1062"/>
      <c r="V96" s="468"/>
      <c r="W96" s="1062"/>
      <c r="X96" s="1062"/>
      <c r="Y96" s="1062"/>
      <c r="Z96" s="1062"/>
      <c r="AA96" s="1062"/>
      <c r="AB96" s="1549"/>
      <c r="AC96" s="487"/>
      <c r="AD96" s="487"/>
      <c r="AE96" s="487"/>
      <c r="AF96" s="487"/>
    </row>
    <row r="97" spans="1:32" s="1558" customFormat="1" ht="11.25" customHeight="1">
      <c r="A97" s="899"/>
      <c r="B97" s="1553"/>
      <c r="C97" s="1553"/>
      <c r="D97" s="272"/>
      <c r="L97" s="1062"/>
      <c r="M97" s="1553"/>
      <c r="N97" s="1553"/>
      <c r="O97" s="1062"/>
      <c r="P97" s="1062"/>
      <c r="Q97" s="1062"/>
      <c r="R97" s="1062"/>
      <c r="S97" s="1553"/>
      <c r="T97" s="1062"/>
      <c r="U97" s="1062"/>
      <c r="V97" s="468"/>
      <c r="W97" s="1062"/>
      <c r="X97" s="1062"/>
      <c r="Y97" s="1062"/>
      <c r="Z97" s="1062"/>
      <c r="AA97" s="1062"/>
      <c r="AB97" s="1549"/>
      <c r="AC97" s="487"/>
      <c r="AD97" s="487"/>
      <c r="AE97" s="487"/>
      <c r="AF97" s="487"/>
    </row>
    <row r="98" spans="1:32" s="1558" customFormat="1" ht="11.25" customHeight="1">
      <c r="A98" s="899"/>
      <c r="B98" s="1553"/>
      <c r="C98" s="1553"/>
      <c r="D98" s="272"/>
      <c r="L98" s="1062"/>
      <c r="M98" s="1553"/>
      <c r="N98" s="1553"/>
      <c r="O98" s="1062"/>
      <c r="P98" s="1062"/>
      <c r="Q98" s="1062"/>
      <c r="R98" s="1062"/>
      <c r="S98" s="1553"/>
      <c r="T98" s="1062"/>
      <c r="U98" s="1062"/>
      <c r="V98" s="468"/>
      <c r="W98" s="1062"/>
      <c r="X98" s="1062"/>
      <c r="Y98" s="1062"/>
      <c r="Z98" s="1062"/>
      <c r="AA98" s="1062"/>
      <c r="AB98" s="1549"/>
      <c r="AC98" s="487"/>
      <c r="AD98" s="487"/>
      <c r="AE98" s="487"/>
      <c r="AF98" s="487"/>
    </row>
    <row r="99" spans="1:32" s="1558" customFormat="1" ht="11.25" customHeight="1">
      <c r="A99" s="899"/>
      <c r="B99" s="1553"/>
      <c r="C99" s="1553"/>
      <c r="D99" s="272"/>
      <c r="L99" s="1062"/>
      <c r="M99" s="1553"/>
      <c r="N99" s="1553"/>
      <c r="O99" s="1062"/>
      <c r="P99" s="1062"/>
      <c r="Q99" s="1062"/>
      <c r="R99" s="1062"/>
      <c r="S99" s="1553"/>
      <c r="T99" s="1062"/>
      <c r="U99" s="1062"/>
      <c r="V99" s="468"/>
      <c r="W99" s="1062"/>
      <c r="X99" s="1062"/>
      <c r="Y99" s="1062"/>
      <c r="Z99" s="1062"/>
      <c r="AA99" s="1062"/>
      <c r="AB99" s="1549"/>
      <c r="AC99" s="487"/>
      <c r="AD99" s="487"/>
      <c r="AE99" s="487"/>
      <c r="AF99" s="487"/>
    </row>
    <row r="100" spans="1:32" s="1558" customFormat="1" ht="11.25" customHeight="1">
      <c r="A100" s="899"/>
      <c r="B100" s="1553"/>
      <c r="C100" s="1553"/>
      <c r="D100" s="272"/>
      <c r="L100" s="1062"/>
      <c r="M100" s="1553"/>
      <c r="N100" s="1553"/>
      <c r="O100" s="1062"/>
      <c r="P100" s="1062"/>
      <c r="Q100" s="1062"/>
      <c r="R100" s="1062"/>
      <c r="S100" s="1553"/>
      <c r="T100" s="1062"/>
      <c r="U100" s="1062"/>
      <c r="V100" s="468"/>
      <c r="W100" s="1062"/>
      <c r="X100" s="1062"/>
      <c r="Y100" s="1062"/>
      <c r="Z100" s="1062"/>
      <c r="AA100" s="1062"/>
      <c r="AB100" s="1549"/>
      <c r="AC100" s="487"/>
      <c r="AD100" s="487"/>
      <c r="AE100" s="487"/>
      <c r="AF100" s="487"/>
    </row>
    <row r="101" spans="1:32" s="1558" customFormat="1" ht="11.25" customHeight="1">
      <c r="A101" s="899"/>
      <c r="B101" s="1553"/>
      <c r="C101" s="1553"/>
      <c r="D101" s="272"/>
      <c r="L101" s="1062"/>
      <c r="M101" s="1553"/>
      <c r="N101" s="1553"/>
      <c r="O101" s="1062"/>
      <c r="P101" s="1062"/>
      <c r="Q101" s="1062"/>
      <c r="R101" s="1062"/>
      <c r="S101" s="1553"/>
      <c r="T101" s="1062"/>
      <c r="U101" s="1062"/>
      <c r="V101" s="468"/>
      <c r="W101" s="1062"/>
      <c r="X101" s="1062"/>
      <c r="Y101" s="1062"/>
      <c r="Z101" s="1062"/>
      <c r="AA101" s="1062"/>
      <c r="AB101" s="1549"/>
      <c r="AC101" s="487"/>
      <c r="AD101" s="487"/>
      <c r="AE101" s="487"/>
      <c r="AF101" s="487"/>
    </row>
    <row r="102" spans="1:32" s="1558" customFormat="1" ht="11.25" customHeight="1">
      <c r="A102" s="899"/>
      <c r="B102" s="1553"/>
      <c r="C102" s="1553"/>
      <c r="D102" s="272"/>
      <c r="L102" s="1062"/>
      <c r="M102" s="1553"/>
      <c r="N102" s="1553"/>
      <c r="O102" s="1062"/>
      <c r="P102" s="1062"/>
      <c r="Q102" s="1062"/>
      <c r="R102" s="1062"/>
      <c r="S102" s="1553"/>
      <c r="T102" s="1062"/>
      <c r="U102" s="1062"/>
      <c r="V102" s="468"/>
      <c r="W102" s="1062"/>
      <c r="X102" s="1062"/>
      <c r="Y102" s="1062"/>
      <c r="Z102" s="1062"/>
      <c r="AA102" s="1062"/>
      <c r="AB102" s="1549"/>
      <c r="AC102" s="487"/>
      <c r="AD102" s="487"/>
      <c r="AE102" s="487"/>
      <c r="AF102" s="487"/>
    </row>
    <row r="103" spans="1:32" s="1558" customFormat="1" ht="11.25" customHeight="1">
      <c r="A103" s="899"/>
      <c r="B103" s="1553"/>
      <c r="C103" s="1553"/>
      <c r="D103" s="272"/>
      <c r="L103" s="1062"/>
      <c r="M103" s="1553"/>
      <c r="N103" s="1553"/>
      <c r="O103" s="1062"/>
      <c r="P103" s="1062"/>
      <c r="Q103" s="1062"/>
      <c r="R103" s="1062"/>
      <c r="S103" s="1553"/>
      <c r="T103" s="1062"/>
      <c r="U103" s="1062"/>
      <c r="V103" s="468"/>
      <c r="W103" s="1062"/>
      <c r="X103" s="1062"/>
      <c r="Y103" s="1062"/>
      <c r="Z103" s="1062"/>
      <c r="AA103" s="1062"/>
      <c r="AB103" s="1549"/>
      <c r="AC103" s="487"/>
      <c r="AD103" s="487"/>
      <c r="AE103" s="487"/>
      <c r="AF103" s="487"/>
    </row>
    <row r="104" spans="1:32" s="1558" customFormat="1" ht="11.25" customHeight="1">
      <c r="A104" s="899"/>
      <c r="B104" s="1553"/>
      <c r="C104" s="1553"/>
      <c r="D104" s="272"/>
      <c r="L104" s="1062"/>
      <c r="M104" s="1553"/>
      <c r="N104" s="1553"/>
      <c r="O104" s="1062"/>
      <c r="P104" s="1062"/>
      <c r="Q104" s="1062"/>
      <c r="R104" s="1062"/>
      <c r="S104" s="1553"/>
      <c r="T104" s="1062"/>
      <c r="U104" s="1062"/>
      <c r="V104" s="468"/>
      <c r="W104" s="1062"/>
      <c r="X104" s="1062"/>
      <c r="Y104" s="1062"/>
      <c r="Z104" s="1062"/>
      <c r="AA104" s="1062"/>
      <c r="AB104" s="1549"/>
      <c r="AC104" s="487"/>
      <c r="AD104" s="487"/>
      <c r="AE104" s="487"/>
      <c r="AF104" s="487"/>
    </row>
    <row r="105" spans="1:32" s="1558" customFormat="1" ht="11.25" customHeight="1">
      <c r="A105" s="899"/>
      <c r="B105" s="1553"/>
      <c r="C105" s="1553"/>
      <c r="D105" s="272"/>
      <c r="L105" s="1062"/>
      <c r="M105" s="1553"/>
      <c r="N105" s="1553"/>
      <c r="O105" s="1062"/>
      <c r="P105" s="1062"/>
      <c r="Q105" s="1062"/>
      <c r="R105" s="1062"/>
      <c r="S105" s="1553"/>
      <c r="T105" s="1062"/>
      <c r="U105" s="1062"/>
      <c r="V105" s="468"/>
      <c r="W105" s="1062"/>
      <c r="X105" s="1062"/>
      <c r="Y105" s="1062"/>
      <c r="Z105" s="1062"/>
      <c r="AA105" s="1062"/>
      <c r="AB105" s="1549"/>
      <c r="AC105" s="487"/>
      <c r="AD105" s="487"/>
      <c r="AE105" s="487"/>
      <c r="AF105" s="487"/>
    </row>
    <row r="106" spans="1:32" s="1558" customFormat="1" ht="11.25" customHeight="1">
      <c r="A106" s="899"/>
      <c r="B106" s="1553"/>
      <c r="C106" s="1553"/>
      <c r="D106" s="272"/>
      <c r="L106" s="1062"/>
      <c r="M106" s="1553"/>
      <c r="N106" s="1553"/>
      <c r="O106" s="1062"/>
      <c r="P106" s="1062"/>
      <c r="Q106" s="1062"/>
      <c r="R106" s="1062"/>
      <c r="S106" s="1553"/>
      <c r="T106" s="1062"/>
      <c r="U106" s="1062"/>
      <c r="V106" s="468"/>
      <c r="W106" s="1062"/>
      <c r="X106" s="1062"/>
      <c r="Y106" s="1062"/>
      <c r="Z106" s="1062"/>
      <c r="AA106" s="1062"/>
      <c r="AB106" s="1549"/>
      <c r="AC106" s="487"/>
      <c r="AD106" s="487"/>
      <c r="AE106" s="487"/>
      <c r="AF106" s="487"/>
    </row>
    <row r="107" spans="1:32" s="1558" customFormat="1" ht="11.25" customHeight="1">
      <c r="A107" s="899"/>
      <c r="B107" s="1553"/>
      <c r="C107" s="1553"/>
      <c r="D107" s="272"/>
      <c r="L107" s="1062"/>
      <c r="M107" s="1553"/>
      <c r="N107" s="1553"/>
      <c r="O107" s="1062"/>
      <c r="P107" s="1062"/>
      <c r="Q107" s="1062"/>
      <c r="R107" s="1062"/>
      <c r="S107" s="1553"/>
      <c r="T107" s="1062"/>
      <c r="U107" s="1062"/>
      <c r="V107" s="468"/>
      <c r="W107" s="1062"/>
      <c r="X107" s="1062"/>
      <c r="Y107" s="1062"/>
      <c r="Z107" s="1062"/>
      <c r="AA107" s="1062"/>
      <c r="AB107" s="1549"/>
      <c r="AC107" s="487"/>
      <c r="AD107" s="487"/>
      <c r="AE107" s="487"/>
      <c r="AF107" s="487"/>
    </row>
    <row r="108" spans="1:32" s="1558" customFormat="1" ht="11.25" customHeight="1">
      <c r="A108" s="899"/>
      <c r="B108" s="1553"/>
      <c r="C108" s="1553"/>
      <c r="D108" s="272"/>
      <c r="L108" s="1062"/>
      <c r="M108" s="1553"/>
      <c r="N108" s="1553"/>
      <c r="O108" s="1062"/>
      <c r="P108" s="1062"/>
      <c r="Q108" s="1062"/>
      <c r="R108" s="1062"/>
      <c r="S108" s="1553"/>
      <c r="T108" s="1062"/>
      <c r="U108" s="1062"/>
      <c r="V108" s="468"/>
      <c r="W108" s="1062"/>
      <c r="X108" s="1062"/>
      <c r="Y108" s="1062"/>
      <c r="Z108" s="1062"/>
      <c r="AA108" s="1062"/>
      <c r="AB108" s="1549"/>
      <c r="AC108" s="487"/>
      <c r="AD108" s="487"/>
      <c r="AE108" s="487"/>
      <c r="AF108" s="487"/>
    </row>
    <row r="109" spans="1:32" s="1558" customFormat="1" ht="11.25" customHeight="1">
      <c r="A109" s="899"/>
      <c r="B109" s="1553"/>
      <c r="C109" s="1553"/>
      <c r="D109" s="272"/>
      <c r="L109" s="1062"/>
      <c r="M109" s="1553"/>
      <c r="N109" s="1553"/>
      <c r="O109" s="1062"/>
      <c r="P109" s="1062"/>
      <c r="Q109" s="1062"/>
      <c r="R109" s="1062"/>
      <c r="S109" s="1553"/>
      <c r="T109" s="1062"/>
      <c r="U109" s="1062"/>
      <c r="V109" s="468"/>
      <c r="W109" s="1062"/>
      <c r="X109" s="1062"/>
      <c r="Y109" s="1062"/>
      <c r="Z109" s="1062"/>
      <c r="AA109" s="1062"/>
      <c r="AB109" s="1549"/>
      <c r="AC109" s="487"/>
      <c r="AD109" s="487"/>
      <c r="AE109" s="487"/>
      <c r="AF109" s="487"/>
    </row>
    <row r="110" spans="1:32" s="1558" customFormat="1" ht="11.25" customHeight="1">
      <c r="A110" s="899"/>
      <c r="B110" s="1553"/>
      <c r="C110" s="1553"/>
      <c r="D110" s="272"/>
      <c r="L110" s="1062"/>
      <c r="M110" s="1553"/>
      <c r="N110" s="1553"/>
      <c r="O110" s="1062"/>
      <c r="P110" s="1062"/>
      <c r="Q110" s="1062"/>
      <c r="R110" s="1062"/>
      <c r="S110" s="1553"/>
      <c r="T110" s="1062"/>
      <c r="U110" s="1062"/>
      <c r="V110" s="468"/>
      <c r="W110" s="1062"/>
      <c r="X110" s="1062"/>
      <c r="Y110" s="1062"/>
      <c r="Z110" s="1062"/>
      <c r="AA110" s="1062"/>
      <c r="AB110" s="1549"/>
      <c r="AC110" s="487"/>
      <c r="AD110" s="487"/>
      <c r="AE110" s="487"/>
      <c r="AF110" s="487"/>
    </row>
    <row r="111" spans="1:32" s="1558" customFormat="1" ht="11.25" customHeight="1">
      <c r="A111" s="899"/>
      <c r="B111" s="1553"/>
      <c r="C111" s="1553"/>
      <c r="D111" s="272"/>
      <c r="L111" s="1062"/>
      <c r="M111" s="1553"/>
      <c r="N111" s="1553"/>
      <c r="O111" s="1062"/>
      <c r="P111" s="1062"/>
      <c r="Q111" s="1062"/>
      <c r="R111" s="1062"/>
      <c r="S111" s="1553"/>
      <c r="T111" s="1062"/>
      <c r="U111" s="1062"/>
      <c r="V111" s="468"/>
      <c r="W111" s="1062"/>
      <c r="X111" s="1062"/>
      <c r="Y111" s="1062"/>
      <c r="Z111" s="1062"/>
      <c r="AA111" s="1062"/>
      <c r="AB111" s="1549"/>
      <c r="AC111" s="487"/>
      <c r="AD111" s="487"/>
      <c r="AE111" s="487"/>
      <c r="AF111" s="487"/>
    </row>
    <row r="112" spans="1:32" s="1558" customFormat="1" ht="11.25" customHeight="1">
      <c r="A112" s="899"/>
      <c r="B112" s="1553"/>
      <c r="C112" s="1553"/>
      <c r="D112" s="272"/>
      <c r="L112" s="1062"/>
      <c r="M112" s="1553"/>
      <c r="N112" s="1553"/>
      <c r="O112" s="1062"/>
      <c r="P112" s="1062"/>
      <c r="Q112" s="1062"/>
      <c r="R112" s="1062"/>
      <c r="S112" s="1553"/>
      <c r="T112" s="1062"/>
      <c r="U112" s="1062"/>
      <c r="V112" s="468"/>
      <c r="W112" s="1062"/>
      <c r="X112" s="1062"/>
      <c r="Y112" s="1062"/>
      <c r="Z112" s="1062"/>
      <c r="AA112" s="1062"/>
      <c r="AB112" s="1549"/>
      <c r="AC112" s="487"/>
      <c r="AD112" s="487"/>
      <c r="AE112" s="487"/>
      <c r="AF112" s="487"/>
    </row>
    <row r="113" spans="1:32" s="1558" customFormat="1" ht="11.25" customHeight="1">
      <c r="A113" s="899"/>
      <c r="B113" s="1553"/>
      <c r="C113" s="1553"/>
      <c r="D113" s="272"/>
      <c r="L113" s="1062"/>
      <c r="M113" s="1553"/>
      <c r="N113" s="1553"/>
      <c r="O113" s="1062"/>
      <c r="P113" s="1062"/>
      <c r="Q113" s="1062"/>
      <c r="R113" s="1062"/>
      <c r="S113" s="1553"/>
      <c r="T113" s="1062"/>
      <c r="U113" s="1062"/>
      <c r="V113" s="468"/>
      <c r="W113" s="1062"/>
      <c r="X113" s="1062"/>
      <c r="Y113" s="1062"/>
      <c r="Z113" s="1062"/>
      <c r="AA113" s="1062"/>
      <c r="AB113" s="1549"/>
      <c r="AC113" s="487"/>
      <c r="AD113" s="487"/>
      <c r="AE113" s="487"/>
      <c r="AF113" s="487"/>
    </row>
    <row r="114" spans="1:32" s="1558" customFormat="1" ht="11.25" customHeight="1">
      <c r="A114" s="899"/>
      <c r="B114" s="1553"/>
      <c r="C114" s="1553"/>
      <c r="D114" s="272"/>
      <c r="L114" s="1062"/>
      <c r="M114" s="1553"/>
      <c r="N114" s="1553"/>
      <c r="O114" s="1062"/>
      <c r="P114" s="1062"/>
      <c r="Q114" s="1062"/>
      <c r="R114" s="1062"/>
      <c r="S114" s="1553"/>
      <c r="T114" s="1062"/>
      <c r="U114" s="1062"/>
      <c r="V114" s="468"/>
      <c r="W114" s="1062"/>
      <c r="X114" s="1062"/>
      <c r="Y114" s="1062"/>
      <c r="Z114" s="1062"/>
      <c r="AA114" s="1062"/>
      <c r="AB114" s="1549"/>
      <c r="AC114" s="487"/>
      <c r="AD114" s="487"/>
      <c r="AE114" s="487"/>
      <c r="AF114" s="487"/>
    </row>
    <row r="115" spans="1:32" s="1558" customFormat="1" ht="11.25" customHeight="1">
      <c r="A115" s="899"/>
      <c r="B115" s="1553"/>
      <c r="C115" s="1553"/>
      <c r="D115" s="272"/>
      <c r="L115" s="1062"/>
      <c r="M115" s="1553"/>
      <c r="N115" s="1553"/>
      <c r="O115" s="1062"/>
      <c r="P115" s="1062"/>
      <c r="Q115" s="1062"/>
      <c r="R115" s="1062"/>
      <c r="S115" s="1553"/>
      <c r="T115" s="1062"/>
      <c r="U115" s="1062"/>
      <c r="V115" s="468"/>
      <c r="W115" s="1062"/>
      <c r="X115" s="1062"/>
      <c r="Y115" s="1062"/>
      <c r="Z115" s="1062"/>
      <c r="AA115" s="1062"/>
      <c r="AB115" s="1549"/>
      <c r="AC115" s="487"/>
      <c r="AD115" s="487"/>
      <c r="AE115" s="487"/>
      <c r="AF115" s="487"/>
    </row>
    <row r="116" spans="1:32" s="1558" customFormat="1" ht="11.25" customHeight="1">
      <c r="A116" s="899"/>
      <c r="B116" s="1553"/>
      <c r="C116" s="1553"/>
      <c r="D116" s="272"/>
      <c r="L116" s="1062"/>
      <c r="M116" s="1553"/>
      <c r="N116" s="1553"/>
      <c r="O116" s="1062"/>
      <c r="P116" s="1062"/>
      <c r="Q116" s="1062"/>
      <c r="R116" s="1062"/>
      <c r="S116" s="1553"/>
      <c r="T116" s="1062"/>
      <c r="U116" s="1062"/>
      <c r="V116" s="468"/>
      <c r="W116" s="1062"/>
      <c r="X116" s="1062"/>
      <c r="Y116" s="1062"/>
      <c r="Z116" s="1062"/>
      <c r="AA116" s="1062"/>
      <c r="AB116" s="1549"/>
      <c r="AC116" s="487"/>
      <c r="AD116" s="487"/>
      <c r="AE116" s="487"/>
      <c r="AF116" s="487"/>
    </row>
    <row r="117" spans="1:32" s="1558" customFormat="1" ht="11.25" customHeight="1">
      <c r="A117" s="899"/>
      <c r="B117" s="1553"/>
      <c r="C117" s="1553"/>
      <c r="D117" s="272"/>
      <c r="L117" s="1062"/>
      <c r="M117" s="1553"/>
      <c r="N117" s="1553"/>
      <c r="O117" s="1062"/>
      <c r="P117" s="1062"/>
      <c r="Q117" s="1062"/>
      <c r="R117" s="1062"/>
      <c r="S117" s="1553"/>
      <c r="T117" s="1062"/>
      <c r="U117" s="1062"/>
      <c r="V117" s="468"/>
      <c r="W117" s="1062"/>
      <c r="X117" s="1062"/>
      <c r="Y117" s="1062"/>
      <c r="Z117" s="1062"/>
      <c r="AA117" s="1062"/>
      <c r="AB117" s="1549"/>
      <c r="AC117" s="487"/>
      <c r="AD117" s="487"/>
      <c r="AE117" s="487"/>
      <c r="AF117" s="487"/>
    </row>
    <row r="118" spans="1:32" s="1558" customFormat="1" ht="11.25" customHeight="1">
      <c r="A118" s="899"/>
      <c r="B118" s="1553"/>
      <c r="C118" s="1553"/>
      <c r="D118" s="272"/>
      <c r="L118" s="1062"/>
      <c r="M118" s="1553"/>
      <c r="N118" s="1553"/>
      <c r="O118" s="1062"/>
      <c r="P118" s="1062"/>
      <c r="Q118" s="1062"/>
      <c r="R118" s="1062"/>
      <c r="S118" s="1553"/>
      <c r="T118" s="1062"/>
      <c r="U118" s="1062"/>
      <c r="V118" s="468"/>
      <c r="W118" s="1062"/>
      <c r="X118" s="1062"/>
      <c r="Y118" s="1062"/>
      <c r="Z118" s="1062"/>
      <c r="AA118" s="1062"/>
      <c r="AB118" s="1549"/>
      <c r="AC118" s="487"/>
      <c r="AD118" s="487"/>
      <c r="AE118" s="487"/>
      <c r="AF118" s="487"/>
    </row>
    <row r="119" spans="1:32" s="1558" customFormat="1" ht="11.25" customHeight="1">
      <c r="A119" s="899"/>
      <c r="B119" s="1553"/>
      <c r="C119" s="1553"/>
      <c r="D119" s="272"/>
      <c r="L119" s="1062"/>
      <c r="M119" s="1553"/>
      <c r="N119" s="1553"/>
      <c r="O119" s="1062"/>
      <c r="P119" s="1062"/>
      <c r="Q119" s="1062"/>
      <c r="R119" s="1062"/>
      <c r="S119" s="1553"/>
      <c r="T119" s="1062"/>
      <c r="U119" s="1062"/>
      <c r="V119" s="468"/>
      <c r="W119" s="1062"/>
      <c r="X119" s="1062"/>
      <c r="Y119" s="1062"/>
      <c r="Z119" s="1062"/>
      <c r="AA119" s="1062"/>
      <c r="AB119" s="1549"/>
      <c r="AC119" s="487"/>
      <c r="AD119" s="487"/>
      <c r="AE119" s="487"/>
      <c r="AF119" s="487"/>
    </row>
    <row r="120" spans="1:32" s="1558" customFormat="1" ht="11.25" customHeight="1">
      <c r="A120" s="899"/>
      <c r="B120" s="1553"/>
      <c r="C120" s="1553"/>
      <c r="D120" s="272"/>
      <c r="L120" s="1062"/>
      <c r="M120" s="1553"/>
      <c r="N120" s="1553"/>
      <c r="O120" s="1062"/>
      <c r="P120" s="1062"/>
      <c r="Q120" s="1062"/>
      <c r="R120" s="1062"/>
      <c r="S120" s="1553"/>
      <c r="T120" s="1062"/>
      <c r="U120" s="1062"/>
      <c r="V120" s="468"/>
      <c r="W120" s="1062"/>
      <c r="X120" s="1062"/>
      <c r="Y120" s="1062"/>
      <c r="Z120" s="1062"/>
      <c r="AA120" s="1062"/>
      <c r="AB120" s="1549"/>
      <c r="AC120" s="487"/>
      <c r="AD120" s="487"/>
      <c r="AE120" s="487"/>
      <c r="AF120" s="487"/>
    </row>
    <row r="121" spans="1:32" s="1558" customFormat="1" ht="11.25" customHeight="1">
      <c r="A121" s="899"/>
      <c r="B121" s="1553"/>
      <c r="C121" s="1553"/>
      <c r="D121" s="272"/>
      <c r="L121" s="1062"/>
      <c r="M121" s="1553"/>
      <c r="N121" s="1553"/>
      <c r="O121" s="1062"/>
      <c r="P121" s="1062"/>
      <c r="Q121" s="1062"/>
      <c r="R121" s="1062"/>
      <c r="S121" s="1553"/>
      <c r="T121" s="1062"/>
      <c r="U121" s="1062"/>
      <c r="V121" s="468"/>
      <c r="W121" s="1062"/>
      <c r="X121" s="1062"/>
      <c r="Y121" s="1062"/>
      <c r="Z121" s="1062"/>
      <c r="AA121" s="1062"/>
      <c r="AB121" s="1549"/>
      <c r="AC121" s="487"/>
      <c r="AD121" s="487"/>
      <c r="AE121" s="487"/>
      <c r="AF121" s="487"/>
    </row>
    <row r="122" spans="1:32" s="1558" customFormat="1" ht="11.25" customHeight="1">
      <c r="A122" s="899"/>
      <c r="B122" s="1553"/>
      <c r="C122" s="1553"/>
      <c r="D122" s="272"/>
      <c r="L122" s="1062"/>
      <c r="M122" s="1553"/>
      <c r="N122" s="1553"/>
      <c r="O122" s="1062"/>
      <c r="P122" s="1062"/>
      <c r="Q122" s="1062"/>
      <c r="R122" s="1062"/>
      <c r="S122" s="1553"/>
      <c r="T122" s="1062"/>
      <c r="U122" s="1062"/>
      <c r="V122" s="468"/>
      <c r="W122" s="1062"/>
      <c r="X122" s="1062"/>
      <c r="Y122" s="1062"/>
      <c r="Z122" s="1062"/>
      <c r="AA122" s="1062"/>
      <c r="AB122" s="1549"/>
      <c r="AC122" s="487"/>
      <c r="AD122" s="487"/>
      <c r="AE122" s="487"/>
      <c r="AF122" s="487"/>
    </row>
    <row r="123" spans="1:32" s="1558" customFormat="1" ht="11.25" customHeight="1">
      <c r="A123" s="899"/>
      <c r="B123" s="1553"/>
      <c r="C123" s="1553"/>
      <c r="D123" s="272"/>
      <c r="L123" s="1062"/>
      <c r="M123" s="1553"/>
      <c r="N123" s="1553"/>
      <c r="O123" s="1062"/>
      <c r="P123" s="1062"/>
      <c r="Q123" s="1062"/>
      <c r="R123" s="1062"/>
      <c r="S123" s="1553"/>
      <c r="T123" s="1062"/>
      <c r="U123" s="1062"/>
      <c r="V123" s="468"/>
      <c r="W123" s="1062"/>
      <c r="X123" s="1062"/>
      <c r="Y123" s="1062"/>
      <c r="Z123" s="1062"/>
      <c r="AA123" s="1062"/>
      <c r="AB123" s="1549"/>
      <c r="AC123" s="487"/>
      <c r="AD123" s="487"/>
      <c r="AE123" s="487"/>
      <c r="AF123" s="487"/>
    </row>
    <row r="124" spans="1:32" s="1558" customFormat="1" ht="11.25" customHeight="1">
      <c r="A124" s="899"/>
      <c r="B124" s="1553"/>
      <c r="C124" s="1553"/>
      <c r="D124" s="272"/>
      <c r="L124" s="1062"/>
      <c r="M124" s="1553"/>
      <c r="N124" s="1553"/>
      <c r="O124" s="1062"/>
      <c r="P124" s="1062"/>
      <c r="Q124" s="1062"/>
      <c r="R124" s="1062"/>
      <c r="S124" s="1553"/>
      <c r="T124" s="1062"/>
      <c r="U124" s="1062"/>
      <c r="V124" s="468"/>
      <c r="W124" s="1062"/>
      <c r="X124" s="1062"/>
      <c r="Y124" s="1062"/>
      <c r="Z124" s="1062"/>
      <c r="AA124" s="1062"/>
      <c r="AB124" s="1549"/>
      <c r="AC124" s="487"/>
      <c r="AD124" s="487"/>
      <c r="AE124" s="487"/>
      <c r="AF124" s="487"/>
    </row>
    <row r="125" spans="1:32" s="1558" customFormat="1" ht="11.25" customHeight="1">
      <c r="A125" s="899"/>
      <c r="B125" s="1553"/>
      <c r="C125" s="1553"/>
      <c r="D125" s="272"/>
      <c r="L125" s="1062"/>
      <c r="M125" s="1553"/>
      <c r="N125" s="1553"/>
      <c r="O125" s="1062"/>
      <c r="P125" s="1062"/>
      <c r="Q125" s="1062"/>
      <c r="R125" s="1062"/>
      <c r="S125" s="1553"/>
      <c r="T125" s="1062"/>
      <c r="U125" s="1062"/>
      <c r="V125" s="468"/>
      <c r="W125" s="1062"/>
      <c r="X125" s="1062"/>
      <c r="Y125" s="1062"/>
      <c r="Z125" s="1062"/>
      <c r="AA125" s="1062"/>
      <c r="AB125" s="1549"/>
      <c r="AC125" s="487"/>
      <c r="AD125" s="487"/>
      <c r="AE125" s="487"/>
      <c r="AF125" s="487"/>
    </row>
    <row r="126" spans="1:32" s="1558" customFormat="1" ht="11.25" customHeight="1">
      <c r="A126" s="899"/>
      <c r="B126" s="1553"/>
      <c r="C126" s="1553"/>
      <c r="D126" s="272"/>
      <c r="L126" s="1062"/>
      <c r="M126" s="1553"/>
      <c r="N126" s="1553"/>
      <c r="O126" s="1062"/>
      <c r="P126" s="1062"/>
      <c r="Q126" s="1062"/>
      <c r="R126" s="1062"/>
      <c r="S126" s="1553"/>
      <c r="T126" s="1062"/>
      <c r="U126" s="1062"/>
      <c r="V126" s="468"/>
      <c r="W126" s="1062"/>
      <c r="X126" s="1062"/>
      <c r="Y126" s="1062"/>
      <c r="Z126" s="1062"/>
      <c r="AA126" s="1062"/>
      <c r="AB126" s="1549"/>
      <c r="AC126" s="487"/>
      <c r="AD126" s="487"/>
      <c r="AE126" s="487"/>
      <c r="AF126" s="487"/>
    </row>
    <row r="127" spans="1:32" s="1558" customFormat="1" ht="11.25" customHeight="1">
      <c r="A127" s="899"/>
      <c r="B127" s="1553"/>
      <c r="C127" s="1553"/>
      <c r="D127" s="272"/>
      <c r="L127" s="1062"/>
      <c r="M127" s="1553"/>
      <c r="N127" s="1553"/>
      <c r="O127" s="1062"/>
      <c r="P127" s="1062"/>
      <c r="Q127" s="1062"/>
      <c r="R127" s="1062"/>
      <c r="S127" s="1553"/>
      <c r="T127" s="1062"/>
      <c r="U127" s="1062"/>
      <c r="V127" s="468"/>
      <c r="W127" s="1062"/>
      <c r="X127" s="1062"/>
      <c r="Y127" s="1062"/>
      <c r="Z127" s="1062"/>
      <c r="AA127" s="1062"/>
      <c r="AB127" s="1549"/>
      <c r="AC127" s="487"/>
      <c r="AD127" s="487"/>
      <c r="AE127" s="487"/>
      <c r="AF127" s="487"/>
    </row>
    <row r="128" spans="1:32" s="1558" customFormat="1" ht="11.25" customHeight="1">
      <c r="A128" s="899"/>
      <c r="B128" s="1553"/>
      <c r="C128" s="1553"/>
      <c r="D128" s="272"/>
      <c r="L128" s="1062"/>
      <c r="M128" s="1553"/>
      <c r="N128" s="1553"/>
      <c r="O128" s="1062"/>
      <c r="P128" s="1062"/>
      <c r="Q128" s="1062"/>
      <c r="R128" s="1062"/>
      <c r="S128" s="1553"/>
      <c r="T128" s="1062"/>
      <c r="U128" s="1062"/>
      <c r="V128" s="468"/>
      <c r="W128" s="1062"/>
      <c r="X128" s="1062"/>
      <c r="Y128" s="1062"/>
      <c r="Z128" s="1062"/>
      <c r="AA128" s="1062"/>
      <c r="AB128" s="1549"/>
      <c r="AC128" s="487"/>
      <c r="AD128" s="487"/>
      <c r="AE128" s="487"/>
      <c r="AF128" s="487"/>
    </row>
    <row r="129" spans="1:32" s="1558" customFormat="1" ht="11.25" customHeight="1">
      <c r="A129" s="899"/>
      <c r="B129" s="1553"/>
      <c r="C129" s="1553"/>
      <c r="D129" s="272"/>
      <c r="L129" s="1062"/>
      <c r="M129" s="1553"/>
      <c r="N129" s="1553"/>
      <c r="O129" s="1062"/>
      <c r="P129" s="1062"/>
      <c r="Q129" s="1062"/>
      <c r="R129" s="1062"/>
      <c r="S129" s="1553"/>
      <c r="T129" s="1062"/>
      <c r="U129" s="1062"/>
      <c r="V129" s="468"/>
      <c r="W129" s="1062"/>
      <c r="X129" s="1062"/>
      <c r="Y129" s="1062"/>
      <c r="Z129" s="1062"/>
      <c r="AA129" s="1062"/>
      <c r="AB129" s="1549"/>
      <c r="AC129" s="487"/>
      <c r="AD129" s="487"/>
      <c r="AE129" s="487"/>
      <c r="AF129" s="487"/>
    </row>
    <row r="130" spans="1:32" s="1558" customFormat="1" ht="11.25" customHeight="1">
      <c r="A130" s="899"/>
      <c r="B130" s="1553"/>
      <c r="C130" s="1553"/>
      <c r="D130" s="272"/>
      <c r="L130" s="1062"/>
      <c r="M130" s="1553"/>
      <c r="N130" s="1553"/>
      <c r="O130" s="1062"/>
      <c r="P130" s="1062"/>
      <c r="Q130" s="1062"/>
      <c r="R130" s="1062"/>
      <c r="S130" s="1553"/>
      <c r="T130" s="1062"/>
      <c r="U130" s="1062"/>
      <c r="V130" s="468"/>
      <c r="W130" s="1062"/>
      <c r="X130" s="1062"/>
      <c r="Y130" s="1062"/>
      <c r="Z130" s="1062"/>
      <c r="AA130" s="1062"/>
      <c r="AB130" s="1549"/>
      <c r="AC130" s="487"/>
      <c r="AD130" s="487"/>
      <c r="AE130" s="487"/>
      <c r="AF130" s="487"/>
    </row>
    <row r="131" spans="1:32" s="1558" customFormat="1" ht="11.25" customHeight="1">
      <c r="A131" s="899"/>
      <c r="B131" s="1553"/>
      <c r="C131" s="1553"/>
      <c r="D131" s="272"/>
      <c r="L131" s="1062"/>
      <c r="M131" s="1553"/>
      <c r="N131" s="1553"/>
      <c r="O131" s="1062"/>
      <c r="P131" s="1062"/>
      <c r="Q131" s="1062"/>
      <c r="R131" s="1062"/>
      <c r="S131" s="1553"/>
      <c r="T131" s="1062"/>
      <c r="U131" s="1062"/>
      <c r="V131" s="468"/>
      <c r="W131" s="1062"/>
      <c r="X131" s="1062"/>
      <c r="Y131" s="1062"/>
      <c r="Z131" s="1062"/>
      <c r="AA131" s="1062"/>
      <c r="AB131" s="1549"/>
      <c r="AC131" s="487"/>
      <c r="AD131" s="487"/>
      <c r="AE131" s="487"/>
      <c r="AF131" s="487"/>
    </row>
    <row r="132" spans="1:32" s="1558" customFormat="1" ht="11.25" customHeight="1">
      <c r="A132" s="899"/>
      <c r="B132" s="1553"/>
      <c r="C132" s="1553"/>
      <c r="D132" s="272"/>
      <c r="L132" s="1062"/>
      <c r="M132" s="1553"/>
      <c r="N132" s="1553"/>
      <c r="O132" s="1062"/>
      <c r="P132" s="1062"/>
      <c r="Q132" s="1062"/>
      <c r="R132" s="1062"/>
      <c r="S132" s="1553"/>
      <c r="T132" s="1062"/>
      <c r="U132" s="1062"/>
      <c r="V132" s="468"/>
      <c r="W132" s="1062"/>
      <c r="X132" s="1062"/>
      <c r="Y132" s="1062"/>
      <c r="Z132" s="1062"/>
      <c r="AA132" s="1062"/>
      <c r="AB132" s="1549"/>
      <c r="AC132" s="487"/>
      <c r="AD132" s="487"/>
      <c r="AE132" s="487"/>
      <c r="AF132" s="487"/>
    </row>
    <row r="133" spans="1:32" s="1558" customFormat="1" ht="11.25" customHeight="1">
      <c r="A133" s="899"/>
      <c r="B133" s="1553"/>
      <c r="C133" s="1553"/>
      <c r="D133" s="272"/>
      <c r="L133" s="1062"/>
      <c r="M133" s="1553"/>
      <c r="N133" s="1553"/>
      <c r="O133" s="1062"/>
      <c r="P133" s="1062"/>
      <c r="Q133" s="1062"/>
      <c r="R133" s="1062"/>
      <c r="S133" s="1553"/>
      <c r="T133" s="1062"/>
      <c r="U133" s="1062"/>
      <c r="V133" s="468"/>
      <c r="W133" s="1062"/>
      <c r="X133" s="1062"/>
      <c r="Y133" s="1062"/>
      <c r="Z133" s="1062"/>
      <c r="AA133" s="1062"/>
      <c r="AB133" s="1549"/>
      <c r="AC133" s="487"/>
      <c r="AD133" s="487"/>
      <c r="AE133" s="487"/>
      <c r="AF133" s="487"/>
    </row>
    <row r="134" spans="1:32" s="1558" customFormat="1" ht="11.25" customHeight="1">
      <c r="A134" s="899"/>
      <c r="B134" s="1553"/>
      <c r="C134" s="1553"/>
      <c r="D134" s="272"/>
      <c r="L134" s="1062"/>
      <c r="M134" s="1553"/>
      <c r="N134" s="1553"/>
      <c r="O134" s="1062"/>
      <c r="P134" s="1062"/>
      <c r="Q134" s="1062"/>
      <c r="R134" s="1062"/>
      <c r="S134" s="1553"/>
      <c r="T134" s="1062"/>
      <c r="U134" s="1062"/>
      <c r="V134" s="468"/>
      <c r="W134" s="1062"/>
      <c r="X134" s="1062"/>
      <c r="Y134" s="1062"/>
      <c r="Z134" s="1062"/>
      <c r="AA134" s="1062"/>
      <c r="AB134" s="1549"/>
      <c r="AC134" s="487"/>
      <c r="AD134" s="487"/>
      <c r="AE134" s="487"/>
      <c r="AF134" s="487"/>
    </row>
    <row r="135" spans="1:32" s="1558" customFormat="1" ht="11.25" customHeight="1">
      <c r="A135" s="899"/>
      <c r="B135" s="1553"/>
      <c r="C135" s="1553"/>
      <c r="D135" s="272"/>
      <c r="L135" s="1062"/>
      <c r="M135" s="1553"/>
      <c r="N135" s="1553"/>
      <c r="O135" s="1062"/>
      <c r="P135" s="1062"/>
      <c r="Q135" s="1062"/>
      <c r="R135" s="1062"/>
      <c r="S135" s="1553"/>
      <c r="T135" s="1062"/>
      <c r="U135" s="1062"/>
      <c r="V135" s="468"/>
      <c r="W135" s="1062"/>
      <c r="X135" s="1062"/>
      <c r="Y135" s="1062"/>
      <c r="Z135" s="1062"/>
      <c r="AA135" s="1062"/>
      <c r="AB135" s="1549"/>
      <c r="AC135" s="487"/>
      <c r="AD135" s="487"/>
      <c r="AE135" s="487"/>
      <c r="AF135" s="487"/>
    </row>
    <row r="136" spans="1:32" s="1558" customFormat="1" ht="11.25" customHeight="1">
      <c r="A136" s="899"/>
      <c r="B136" s="1553"/>
      <c r="C136" s="1553"/>
      <c r="D136" s="272"/>
      <c r="L136" s="1062"/>
      <c r="M136" s="1553"/>
      <c r="N136" s="1553"/>
      <c r="O136" s="1062"/>
      <c r="P136" s="1062"/>
      <c r="Q136" s="1062"/>
      <c r="R136" s="1062"/>
      <c r="S136" s="1553"/>
      <c r="T136" s="1062"/>
      <c r="U136" s="1062"/>
      <c r="V136" s="468"/>
      <c r="W136" s="1062"/>
      <c r="X136" s="1062"/>
      <c r="Y136" s="1062"/>
      <c r="Z136" s="1062"/>
      <c r="AA136" s="1062"/>
      <c r="AB136" s="1549"/>
      <c r="AC136" s="487"/>
      <c r="AD136" s="487"/>
      <c r="AE136" s="487"/>
      <c r="AF136" s="487"/>
    </row>
    <row r="137" spans="1:32" s="1558" customFormat="1" ht="11.25" customHeight="1">
      <c r="A137" s="899"/>
      <c r="B137" s="1553"/>
      <c r="C137" s="1553"/>
      <c r="D137" s="272"/>
      <c r="L137" s="1062"/>
      <c r="M137" s="1553"/>
      <c r="N137" s="1553"/>
      <c r="O137" s="1062"/>
      <c r="P137" s="1062"/>
      <c r="Q137" s="1062"/>
      <c r="R137" s="1062"/>
      <c r="S137" s="1553"/>
      <c r="T137" s="1062"/>
      <c r="U137" s="1062"/>
      <c r="V137" s="468"/>
      <c r="W137" s="1062"/>
      <c r="X137" s="1062"/>
      <c r="Y137" s="1062"/>
      <c r="Z137" s="1062"/>
      <c r="AA137" s="1062"/>
      <c r="AB137" s="1549"/>
      <c r="AC137" s="487"/>
      <c r="AD137" s="487"/>
      <c r="AE137" s="487"/>
      <c r="AF137" s="487"/>
    </row>
    <row r="138" spans="1:32" s="1558" customFormat="1" ht="11.25" customHeight="1">
      <c r="A138" s="899"/>
      <c r="B138" s="1553"/>
      <c r="C138" s="1553"/>
      <c r="D138" s="272"/>
      <c r="L138" s="1062"/>
      <c r="M138" s="1553"/>
      <c r="N138" s="1553"/>
      <c r="O138" s="1062"/>
      <c r="P138" s="1062"/>
      <c r="Q138" s="1062"/>
      <c r="R138" s="1062"/>
      <c r="S138" s="1553"/>
      <c r="T138" s="1062"/>
      <c r="U138" s="1062"/>
      <c r="V138" s="468"/>
      <c r="W138" s="1062"/>
      <c r="X138" s="1062"/>
      <c r="Y138" s="1062"/>
      <c r="Z138" s="1062"/>
      <c r="AA138" s="1062"/>
      <c r="AB138" s="1549"/>
      <c r="AC138" s="487"/>
      <c r="AD138" s="487"/>
      <c r="AE138" s="487"/>
      <c r="AF138" s="487"/>
    </row>
    <row r="139" spans="1:32" s="1558" customFormat="1" ht="11.25" customHeight="1">
      <c r="A139" s="899"/>
      <c r="B139" s="1553"/>
      <c r="C139" s="1553"/>
      <c r="D139" s="272"/>
      <c r="L139" s="1062"/>
      <c r="M139" s="1553"/>
      <c r="N139" s="1553"/>
      <c r="O139" s="1062"/>
      <c r="P139" s="1062"/>
      <c r="Q139" s="1062"/>
      <c r="R139" s="1062"/>
      <c r="S139" s="1553"/>
      <c r="T139" s="1062"/>
      <c r="U139" s="1062"/>
      <c r="V139" s="468"/>
      <c r="W139" s="1062"/>
      <c r="X139" s="1062"/>
      <c r="Y139" s="1062"/>
      <c r="Z139" s="1062"/>
      <c r="AA139" s="1062"/>
      <c r="AB139" s="1549"/>
      <c r="AC139" s="487"/>
      <c r="AD139" s="487"/>
      <c r="AE139" s="487"/>
      <c r="AF139" s="487"/>
    </row>
    <row r="140" spans="1:32" s="1558" customFormat="1" ht="11.25" customHeight="1">
      <c r="A140" s="899"/>
      <c r="B140" s="1553"/>
      <c r="C140" s="1553"/>
      <c r="D140" s="272"/>
      <c r="L140" s="1062"/>
      <c r="M140" s="1553"/>
      <c r="N140" s="1553"/>
      <c r="O140" s="1062"/>
      <c r="P140" s="1062"/>
      <c r="Q140" s="1062"/>
      <c r="R140" s="1062"/>
      <c r="S140" s="1553"/>
      <c r="T140" s="1062"/>
      <c r="U140" s="1062"/>
      <c r="V140" s="468"/>
      <c r="W140" s="1062"/>
      <c r="X140" s="1062"/>
      <c r="Y140" s="1062"/>
      <c r="Z140" s="1062"/>
      <c r="AA140" s="1062"/>
      <c r="AB140" s="1549"/>
      <c r="AC140" s="487"/>
      <c r="AD140" s="487"/>
      <c r="AE140" s="487"/>
      <c r="AF140" s="487"/>
    </row>
    <row r="141" spans="1:32" s="1558" customFormat="1" ht="11.25" customHeight="1">
      <c r="A141" s="899"/>
      <c r="B141" s="1553"/>
      <c r="C141" s="1553"/>
      <c r="D141" s="272"/>
      <c r="L141" s="1062"/>
      <c r="M141" s="1553"/>
      <c r="N141" s="1553"/>
      <c r="O141" s="1062"/>
      <c r="P141" s="1062"/>
      <c r="Q141" s="1062"/>
      <c r="R141" s="1062"/>
      <c r="S141" s="1553"/>
      <c r="T141" s="1062"/>
      <c r="U141" s="1062"/>
      <c r="V141" s="468"/>
      <c r="W141" s="1062"/>
      <c r="X141" s="1062"/>
      <c r="Y141" s="1062"/>
      <c r="Z141" s="1062"/>
      <c r="AA141" s="1062"/>
      <c r="AB141" s="1549"/>
      <c r="AC141" s="487"/>
      <c r="AD141" s="487"/>
      <c r="AE141" s="487"/>
      <c r="AF141" s="487"/>
    </row>
    <row r="142" spans="1:32" s="1558" customFormat="1" ht="11.25" customHeight="1">
      <c r="A142" s="899"/>
      <c r="B142" s="1553"/>
      <c r="C142" s="1553"/>
      <c r="D142" s="272"/>
      <c r="L142" s="1062"/>
      <c r="M142" s="1553"/>
      <c r="N142" s="1553"/>
      <c r="O142" s="1062"/>
      <c r="P142" s="1062"/>
      <c r="Q142" s="1062"/>
      <c r="R142" s="1062"/>
      <c r="S142" s="1553"/>
      <c r="T142" s="1062"/>
      <c r="U142" s="1062"/>
      <c r="V142" s="468"/>
      <c r="W142" s="1062"/>
      <c r="X142" s="1062"/>
      <c r="Y142" s="1062"/>
      <c r="Z142" s="1062"/>
      <c r="AA142" s="1062"/>
      <c r="AB142" s="1549"/>
      <c r="AC142" s="487"/>
      <c r="AD142" s="487"/>
      <c r="AE142" s="487"/>
      <c r="AF142" s="487"/>
    </row>
    <row r="143" spans="1:32" s="1558" customFormat="1" ht="11.25" customHeight="1">
      <c r="A143" s="899"/>
      <c r="B143" s="1553"/>
      <c r="C143" s="1553"/>
      <c r="D143" s="272"/>
      <c r="L143" s="1062"/>
      <c r="M143" s="1553"/>
      <c r="N143" s="1553"/>
      <c r="O143" s="1062"/>
      <c r="P143" s="1062"/>
      <c r="Q143" s="1062"/>
      <c r="R143" s="1062"/>
      <c r="S143" s="1553"/>
      <c r="T143" s="1062"/>
      <c r="U143" s="1062"/>
      <c r="V143" s="468"/>
      <c r="W143" s="1062"/>
      <c r="X143" s="1062"/>
      <c r="Y143" s="1062"/>
      <c r="Z143" s="1062"/>
      <c r="AA143" s="1062"/>
      <c r="AB143" s="1549"/>
      <c r="AC143" s="487"/>
      <c r="AD143" s="487"/>
      <c r="AE143" s="487"/>
      <c r="AF143" s="487"/>
    </row>
    <row r="144" spans="1:32" s="1558" customFormat="1" ht="11.25" customHeight="1">
      <c r="A144" s="899"/>
      <c r="B144" s="1553"/>
      <c r="C144" s="1553"/>
      <c r="D144" s="272"/>
      <c r="L144" s="1062"/>
      <c r="M144" s="1553"/>
      <c r="N144" s="1553"/>
      <c r="O144" s="1062"/>
      <c r="P144" s="1062"/>
      <c r="Q144" s="1062"/>
      <c r="R144" s="1062"/>
      <c r="S144" s="1553"/>
      <c r="T144" s="1062"/>
      <c r="U144" s="1062"/>
      <c r="V144" s="468"/>
      <c r="W144" s="1062"/>
      <c r="X144" s="1062"/>
      <c r="Y144" s="1062"/>
      <c r="Z144" s="1062"/>
      <c r="AA144" s="1062"/>
      <c r="AB144" s="1549"/>
      <c r="AC144" s="487"/>
      <c r="AD144" s="487"/>
      <c r="AE144" s="487"/>
      <c r="AF144" s="487"/>
    </row>
    <row r="145" spans="1:32" s="1558" customFormat="1" ht="11.25" customHeight="1">
      <c r="A145" s="899"/>
      <c r="B145" s="1553"/>
      <c r="C145" s="1553"/>
      <c r="D145" s="272"/>
      <c r="L145" s="1062"/>
      <c r="M145" s="1553"/>
      <c r="N145" s="1553"/>
      <c r="O145" s="1062"/>
      <c r="P145" s="1062"/>
      <c r="Q145" s="1062"/>
      <c r="R145" s="1062"/>
      <c r="S145" s="1553"/>
      <c r="T145" s="1062"/>
      <c r="U145" s="1062"/>
      <c r="V145" s="468"/>
      <c r="W145" s="1062"/>
      <c r="X145" s="1062"/>
      <c r="Y145" s="1062"/>
      <c r="Z145" s="1062"/>
      <c r="AA145" s="1062"/>
      <c r="AB145" s="1549"/>
      <c r="AC145" s="487"/>
      <c r="AD145" s="487"/>
      <c r="AE145" s="487"/>
      <c r="AF145" s="487"/>
    </row>
    <row r="146" spans="1:32" s="1558" customFormat="1" ht="11.25" customHeight="1">
      <c r="A146" s="899"/>
      <c r="B146" s="1553"/>
      <c r="C146" s="1553"/>
      <c r="D146" s="272"/>
      <c r="L146" s="1062"/>
      <c r="M146" s="1553"/>
      <c r="N146" s="1553"/>
      <c r="O146" s="1062"/>
      <c r="P146" s="1062"/>
      <c r="Q146" s="1062"/>
      <c r="R146" s="1062"/>
      <c r="S146" s="1553"/>
      <c r="T146" s="1062"/>
      <c r="U146" s="1062"/>
      <c r="V146" s="468"/>
      <c r="W146" s="1062"/>
      <c r="X146" s="1062"/>
      <c r="Y146" s="1062"/>
      <c r="Z146" s="1062"/>
      <c r="AA146" s="1062"/>
      <c r="AB146" s="1549"/>
      <c r="AC146" s="487"/>
      <c r="AD146" s="487"/>
      <c r="AE146" s="487"/>
      <c r="AF146" s="487"/>
    </row>
    <row r="147" spans="1:32" s="1558" customFormat="1" ht="11.25" customHeight="1">
      <c r="A147" s="899"/>
      <c r="B147" s="1553"/>
      <c r="C147" s="1553"/>
      <c r="D147" s="272"/>
      <c r="L147" s="1062"/>
      <c r="M147" s="1553"/>
      <c r="N147" s="1553"/>
      <c r="O147" s="1062"/>
      <c r="P147" s="1062"/>
      <c r="Q147" s="1062"/>
      <c r="R147" s="1062"/>
      <c r="S147" s="1553"/>
      <c r="T147" s="1062"/>
      <c r="U147" s="1062"/>
      <c r="V147" s="468"/>
      <c r="W147" s="1062"/>
      <c r="X147" s="1062"/>
      <c r="Y147" s="1062"/>
      <c r="Z147" s="1062"/>
      <c r="AA147" s="1062"/>
      <c r="AB147" s="1549"/>
      <c r="AC147" s="487"/>
      <c r="AD147" s="487"/>
      <c r="AE147" s="487"/>
      <c r="AF147" s="487"/>
    </row>
    <row r="148" spans="1:32" s="1558" customFormat="1" ht="11.25" customHeight="1">
      <c r="A148" s="899"/>
      <c r="B148" s="1553"/>
      <c r="C148" s="1553"/>
      <c r="D148" s="272"/>
      <c r="L148" s="1062"/>
      <c r="M148" s="1553"/>
      <c r="N148" s="1553"/>
      <c r="O148" s="1062"/>
      <c r="P148" s="1062"/>
      <c r="Q148" s="1062"/>
      <c r="R148" s="1062"/>
      <c r="S148" s="1553"/>
      <c r="T148" s="1062"/>
      <c r="U148" s="1062"/>
      <c r="V148" s="468"/>
      <c r="W148" s="1062"/>
      <c r="X148" s="1062"/>
      <c r="Y148" s="1062"/>
      <c r="Z148" s="1062"/>
      <c r="AA148" s="1062"/>
      <c r="AB148" s="1549"/>
      <c r="AC148" s="487"/>
      <c r="AD148" s="487"/>
      <c r="AE148" s="487"/>
      <c r="AF148" s="487"/>
    </row>
    <row r="149" spans="1:32" s="1558" customFormat="1" ht="11.25" customHeight="1">
      <c r="A149" s="899"/>
      <c r="B149" s="1553"/>
      <c r="C149" s="1553"/>
      <c r="D149" s="272"/>
      <c r="L149" s="1062"/>
      <c r="M149" s="1553"/>
      <c r="N149" s="1553"/>
      <c r="O149" s="1062"/>
      <c r="P149" s="1062"/>
      <c r="Q149" s="1062"/>
      <c r="R149" s="1062"/>
      <c r="S149" s="1553"/>
      <c r="T149" s="1062"/>
      <c r="U149" s="1062"/>
      <c r="V149" s="468"/>
      <c r="W149" s="1062"/>
      <c r="X149" s="1062"/>
      <c r="Y149" s="1062"/>
      <c r="Z149" s="1062"/>
      <c r="AA149" s="1062"/>
      <c r="AB149" s="1549"/>
      <c r="AC149" s="487"/>
      <c r="AD149" s="487"/>
      <c r="AE149" s="487"/>
      <c r="AF149" s="487"/>
    </row>
    <row r="150" spans="1:32" s="1558" customFormat="1" ht="11.25" customHeight="1">
      <c r="A150" s="899"/>
      <c r="B150" s="1553"/>
      <c r="C150" s="1553"/>
      <c r="D150" s="272"/>
      <c r="L150" s="1062"/>
      <c r="M150" s="1553"/>
      <c r="N150" s="1553"/>
      <c r="O150" s="1062"/>
      <c r="P150" s="1062"/>
      <c r="Q150" s="1062"/>
      <c r="R150" s="1062"/>
      <c r="S150" s="1553"/>
      <c r="T150" s="1062"/>
      <c r="U150" s="1062"/>
      <c r="V150" s="468"/>
      <c r="W150" s="1062"/>
      <c r="X150" s="1062"/>
      <c r="Y150" s="1062"/>
      <c r="Z150" s="1062"/>
      <c r="AA150" s="1062"/>
      <c r="AB150" s="1549"/>
      <c r="AC150" s="487"/>
      <c r="AD150" s="487"/>
      <c r="AE150" s="487"/>
      <c r="AF150" s="487"/>
    </row>
    <row r="151" spans="1:32" s="1558" customFormat="1" ht="11.25" customHeight="1">
      <c r="A151" s="899"/>
      <c r="B151" s="1553"/>
      <c r="C151" s="1553"/>
      <c r="D151" s="272"/>
      <c r="L151" s="1062"/>
      <c r="M151" s="1553"/>
      <c r="N151" s="1553"/>
      <c r="O151" s="1062"/>
      <c r="P151" s="1062"/>
      <c r="Q151" s="1062"/>
      <c r="R151" s="1062"/>
      <c r="S151" s="1553"/>
      <c r="T151" s="1062"/>
      <c r="U151" s="1062"/>
      <c r="V151" s="468"/>
      <c r="W151" s="1062"/>
      <c r="X151" s="1062"/>
      <c r="Y151" s="1062"/>
      <c r="Z151" s="1062"/>
      <c r="AA151" s="1062"/>
      <c r="AB151" s="1549"/>
      <c r="AC151" s="487"/>
      <c r="AD151" s="487"/>
      <c r="AE151" s="487"/>
      <c r="AF151" s="487"/>
    </row>
    <row r="152" spans="1:32" s="1558" customFormat="1" ht="11.25" customHeight="1">
      <c r="A152" s="899"/>
      <c r="B152" s="1553"/>
      <c r="C152" s="1553"/>
      <c r="D152" s="272"/>
      <c r="L152" s="1062"/>
      <c r="M152" s="1553"/>
      <c r="N152" s="1553"/>
      <c r="O152" s="1062"/>
      <c r="P152" s="1062"/>
      <c r="Q152" s="1062"/>
      <c r="R152" s="1062"/>
      <c r="S152" s="1553"/>
      <c r="T152" s="1062"/>
      <c r="U152" s="1062"/>
      <c r="V152" s="468"/>
      <c r="W152" s="1062"/>
      <c r="X152" s="1062"/>
      <c r="Y152" s="1062"/>
      <c r="Z152" s="1062"/>
      <c r="AA152" s="1062"/>
      <c r="AB152" s="1549"/>
      <c r="AC152" s="487"/>
      <c r="AD152" s="487"/>
      <c r="AE152" s="487"/>
      <c r="AF152" s="487"/>
    </row>
    <row r="153" spans="1:32" s="1558" customFormat="1" ht="11.25" customHeight="1">
      <c r="A153" s="899"/>
      <c r="B153" s="1553"/>
      <c r="C153" s="1553"/>
      <c r="D153" s="272"/>
      <c r="L153" s="1062"/>
      <c r="M153" s="1553"/>
      <c r="N153" s="1553"/>
      <c r="O153" s="1062"/>
      <c r="P153" s="1062"/>
      <c r="Q153" s="1062"/>
      <c r="R153" s="1062"/>
      <c r="S153" s="1553"/>
      <c r="T153" s="1062"/>
      <c r="U153" s="1062"/>
      <c r="V153" s="468"/>
      <c r="W153" s="1062"/>
      <c r="X153" s="1062"/>
      <c r="Y153" s="1062"/>
      <c r="Z153" s="1062"/>
      <c r="AA153" s="1062"/>
      <c r="AB153" s="1549"/>
      <c r="AC153" s="487"/>
      <c r="AD153" s="487"/>
      <c r="AE153" s="487"/>
      <c r="AF153" s="487"/>
    </row>
    <row r="154" spans="1:32" s="1558" customFormat="1" ht="11.25" customHeight="1">
      <c r="A154" s="899"/>
      <c r="B154" s="1553"/>
      <c r="C154" s="1553"/>
      <c r="D154" s="272"/>
      <c r="L154" s="1062"/>
      <c r="M154" s="1553"/>
      <c r="N154" s="1553"/>
      <c r="O154" s="1062"/>
      <c r="P154" s="1062"/>
      <c r="Q154" s="1062"/>
      <c r="R154" s="1062"/>
      <c r="S154" s="1553"/>
      <c r="T154" s="1062"/>
      <c r="U154" s="1062"/>
      <c r="V154" s="468"/>
      <c r="W154" s="1062"/>
      <c r="X154" s="1062"/>
      <c r="Y154" s="1062"/>
      <c r="Z154" s="1062"/>
      <c r="AA154" s="1062"/>
      <c r="AB154" s="1549"/>
      <c r="AC154" s="487"/>
      <c r="AD154" s="487"/>
      <c r="AE154" s="487"/>
      <c r="AF154" s="487"/>
    </row>
    <row r="155" spans="1:32" s="1558" customFormat="1" ht="11.25" customHeight="1">
      <c r="A155" s="899"/>
      <c r="B155" s="1553"/>
      <c r="C155" s="1553"/>
      <c r="D155" s="272"/>
      <c r="L155" s="1062"/>
      <c r="M155" s="1553"/>
      <c r="N155" s="1553"/>
      <c r="O155" s="1062"/>
      <c r="P155" s="1062"/>
      <c r="Q155" s="1062"/>
      <c r="R155" s="1062"/>
      <c r="S155" s="1553"/>
      <c r="T155" s="1062"/>
      <c r="U155" s="1062"/>
      <c r="V155" s="468"/>
      <c r="W155" s="1062"/>
      <c r="X155" s="1062"/>
      <c r="Y155" s="1062"/>
      <c r="Z155" s="1062"/>
      <c r="AA155" s="1062"/>
      <c r="AB155" s="1549"/>
      <c r="AC155" s="487"/>
      <c r="AD155" s="487"/>
      <c r="AE155" s="487"/>
      <c r="AF155" s="487"/>
    </row>
    <row r="156" spans="1:32" s="1558" customFormat="1" ht="11.25" customHeight="1">
      <c r="A156" s="899"/>
      <c r="B156" s="1553"/>
      <c r="C156" s="1553"/>
      <c r="D156" s="272"/>
      <c r="L156" s="1062"/>
      <c r="M156" s="1553"/>
      <c r="N156" s="1553"/>
      <c r="O156" s="1062"/>
      <c r="P156" s="1062"/>
      <c r="Q156" s="1062"/>
      <c r="R156" s="1062"/>
      <c r="S156" s="1553"/>
      <c r="T156" s="1062"/>
      <c r="U156" s="1062"/>
      <c r="V156" s="468"/>
      <c r="W156" s="1062"/>
      <c r="X156" s="1062"/>
      <c r="Y156" s="1062"/>
      <c r="Z156" s="1062"/>
      <c r="AA156" s="1062"/>
      <c r="AB156" s="1549"/>
      <c r="AC156" s="487"/>
      <c r="AD156" s="487"/>
      <c r="AE156" s="487"/>
      <c r="AF156" s="487"/>
    </row>
    <row r="157" spans="1:32" s="1558" customFormat="1" ht="11.25" customHeight="1">
      <c r="A157" s="899"/>
      <c r="B157" s="1553"/>
      <c r="C157" s="1553"/>
      <c r="D157" s="272"/>
      <c r="L157" s="1062"/>
      <c r="M157" s="1553"/>
      <c r="N157" s="1553"/>
      <c r="O157" s="1062"/>
      <c r="P157" s="1062"/>
      <c r="Q157" s="1062"/>
      <c r="R157" s="1062"/>
      <c r="S157" s="1553"/>
      <c r="T157" s="1062"/>
      <c r="U157" s="1062"/>
      <c r="V157" s="468"/>
      <c r="W157" s="1062"/>
      <c r="X157" s="1062"/>
      <c r="Y157" s="1062"/>
      <c r="Z157" s="1062"/>
      <c r="AA157" s="1062"/>
      <c r="AB157" s="1549"/>
      <c r="AC157" s="487"/>
      <c r="AD157" s="487"/>
      <c r="AE157" s="487"/>
      <c r="AF157" s="487"/>
    </row>
    <row r="158" spans="1:32" s="1558" customFormat="1" ht="11.25" customHeight="1">
      <c r="A158" s="899"/>
      <c r="B158" s="1553"/>
      <c r="C158" s="1553"/>
      <c r="D158" s="272"/>
      <c r="L158" s="1062"/>
      <c r="M158" s="1553"/>
      <c r="N158" s="1553"/>
      <c r="O158" s="1062"/>
      <c r="P158" s="1062"/>
      <c r="Q158" s="1062"/>
      <c r="R158" s="1062"/>
      <c r="S158" s="1553"/>
      <c r="T158" s="1062"/>
      <c r="U158" s="1062"/>
      <c r="V158" s="468"/>
      <c r="W158" s="1062"/>
      <c r="X158" s="1062"/>
      <c r="Y158" s="1062"/>
      <c r="Z158" s="1062"/>
      <c r="AA158" s="1062"/>
      <c r="AB158" s="1549"/>
      <c r="AC158" s="487"/>
      <c r="AD158" s="487"/>
      <c r="AE158" s="487"/>
      <c r="AF158" s="487"/>
    </row>
    <row r="159" spans="1:32" s="1558" customFormat="1" ht="11.25" customHeight="1">
      <c r="A159" s="899"/>
      <c r="B159" s="1553"/>
      <c r="C159" s="1553"/>
      <c r="D159" s="272"/>
      <c r="L159" s="1062"/>
      <c r="M159" s="1553"/>
      <c r="N159" s="1553"/>
      <c r="O159" s="1062"/>
      <c r="P159" s="1062"/>
      <c r="Q159" s="1062"/>
      <c r="R159" s="1062"/>
      <c r="S159" s="1553"/>
      <c r="T159" s="1062"/>
      <c r="U159" s="1062"/>
      <c r="V159" s="468"/>
      <c r="W159" s="1062"/>
      <c r="X159" s="1062"/>
      <c r="Y159" s="1062"/>
      <c r="Z159" s="1062"/>
      <c r="AA159" s="1062"/>
      <c r="AB159" s="1549"/>
      <c r="AC159" s="487"/>
      <c r="AD159" s="487"/>
      <c r="AE159" s="487"/>
      <c r="AF159" s="487"/>
    </row>
    <row r="160" spans="1:32" s="1558" customFormat="1" ht="11.25" customHeight="1">
      <c r="A160" s="899"/>
      <c r="B160" s="1553"/>
      <c r="C160" s="1553"/>
      <c r="D160" s="272"/>
      <c r="L160" s="1062"/>
      <c r="M160" s="1553"/>
      <c r="N160" s="1553"/>
      <c r="O160" s="1062"/>
      <c r="P160" s="1062"/>
      <c r="Q160" s="1062"/>
      <c r="R160" s="1062"/>
      <c r="S160" s="1553"/>
      <c r="T160" s="1062"/>
      <c r="U160" s="1062"/>
      <c r="V160" s="468"/>
      <c r="W160" s="1062"/>
      <c r="X160" s="1062"/>
      <c r="Y160" s="1062"/>
      <c r="Z160" s="1062"/>
      <c r="AA160" s="1062"/>
      <c r="AB160" s="1549"/>
      <c r="AC160" s="487"/>
      <c r="AD160" s="487"/>
      <c r="AE160" s="487"/>
      <c r="AF160" s="487"/>
    </row>
    <row r="161" spans="1:32" s="1558" customFormat="1" ht="11.25" customHeight="1">
      <c r="A161" s="899"/>
      <c r="B161" s="1553"/>
      <c r="C161" s="1553"/>
      <c r="D161" s="272"/>
      <c r="L161" s="1062"/>
      <c r="M161" s="1553"/>
      <c r="N161" s="1553"/>
      <c r="O161" s="1062"/>
      <c r="P161" s="1062"/>
      <c r="Q161" s="1062"/>
      <c r="R161" s="1062"/>
      <c r="S161" s="1553"/>
      <c r="T161" s="1062"/>
      <c r="U161" s="1062"/>
      <c r="V161" s="468"/>
      <c r="W161" s="1062"/>
      <c r="X161" s="1062"/>
      <c r="Y161" s="1062"/>
      <c r="Z161" s="1062"/>
      <c r="AA161" s="1062"/>
      <c r="AB161" s="1549"/>
      <c r="AC161" s="487"/>
      <c r="AD161" s="487"/>
      <c r="AE161" s="487"/>
      <c r="AF161" s="487"/>
    </row>
    <row r="162" spans="1:32" s="1558" customFormat="1" ht="11.25" customHeight="1">
      <c r="A162" s="899"/>
      <c r="B162" s="1553"/>
      <c r="C162" s="1553"/>
      <c r="D162" s="272"/>
      <c r="L162" s="1062"/>
      <c r="M162" s="1553"/>
      <c r="N162" s="1553"/>
      <c r="O162" s="1062"/>
      <c r="P162" s="1062"/>
      <c r="Q162" s="1062"/>
      <c r="R162" s="1062"/>
      <c r="S162" s="1553"/>
      <c r="T162" s="1062"/>
      <c r="U162" s="1062"/>
      <c r="V162" s="468"/>
      <c r="W162" s="1062"/>
      <c r="X162" s="1062"/>
      <c r="Y162" s="1062"/>
      <c r="Z162" s="1062"/>
      <c r="AA162" s="1062"/>
      <c r="AB162" s="1549"/>
      <c r="AC162" s="487"/>
      <c r="AD162" s="487"/>
      <c r="AE162" s="487"/>
      <c r="AF162" s="487"/>
    </row>
    <row r="163" spans="1:32" s="1558" customFormat="1" ht="11.25" customHeight="1">
      <c r="A163" s="899"/>
      <c r="B163" s="1553"/>
      <c r="C163" s="1553"/>
      <c r="D163" s="272"/>
      <c r="L163" s="1062"/>
      <c r="M163" s="1553"/>
      <c r="N163" s="1553"/>
      <c r="O163" s="1062"/>
      <c r="P163" s="1062"/>
      <c r="Q163" s="1062"/>
      <c r="R163" s="1062"/>
      <c r="S163" s="1553"/>
      <c r="T163" s="1062"/>
      <c r="U163" s="1062"/>
      <c r="V163" s="468"/>
      <c r="W163" s="1062"/>
      <c r="X163" s="1062"/>
      <c r="Y163" s="1062"/>
      <c r="Z163" s="1062"/>
      <c r="AA163" s="1062"/>
      <c r="AB163" s="1549"/>
      <c r="AC163" s="487"/>
      <c r="AD163" s="487"/>
      <c r="AE163" s="487"/>
      <c r="AF163" s="487"/>
    </row>
    <row r="164" spans="1:32" s="1558" customFormat="1" ht="11.25" customHeight="1">
      <c r="A164" s="899"/>
      <c r="B164" s="1553"/>
      <c r="C164" s="1553"/>
      <c r="D164" s="272"/>
      <c r="L164" s="1062"/>
      <c r="M164" s="1553"/>
      <c r="N164" s="1553"/>
      <c r="O164" s="1062"/>
      <c r="P164" s="1062"/>
      <c r="Q164" s="1062"/>
      <c r="R164" s="1062"/>
      <c r="S164" s="1553"/>
      <c r="T164" s="1062"/>
      <c r="U164" s="1062"/>
      <c r="V164" s="468"/>
      <c r="W164" s="1062"/>
      <c r="X164" s="1062"/>
      <c r="Y164" s="1062"/>
      <c r="Z164" s="1062"/>
      <c r="AA164" s="1062"/>
      <c r="AB164" s="1549"/>
      <c r="AC164" s="487"/>
      <c r="AD164" s="487"/>
      <c r="AE164" s="487"/>
      <c r="AF164" s="487"/>
    </row>
    <row r="165" spans="1:32" s="1558" customFormat="1" ht="11.25" customHeight="1">
      <c r="A165" s="899"/>
      <c r="B165" s="1553"/>
      <c r="C165" s="1553"/>
      <c r="D165" s="272"/>
      <c r="L165" s="1062"/>
      <c r="M165" s="1553"/>
      <c r="N165" s="1553"/>
      <c r="O165" s="1062"/>
      <c r="P165" s="1062"/>
      <c r="Q165" s="1062"/>
      <c r="R165" s="1062"/>
      <c r="S165" s="1553"/>
      <c r="T165" s="1062"/>
      <c r="U165" s="1062"/>
      <c r="V165" s="468"/>
      <c r="W165" s="1062"/>
      <c r="X165" s="1062"/>
      <c r="Y165" s="1062"/>
      <c r="Z165" s="1062"/>
      <c r="AA165" s="1062"/>
      <c r="AB165" s="1549"/>
      <c r="AC165" s="487"/>
      <c r="AD165" s="487"/>
      <c r="AE165" s="487"/>
      <c r="AF165" s="487"/>
    </row>
    <row r="166" spans="1:32" s="1558" customFormat="1" ht="11.25" customHeight="1">
      <c r="A166" s="899"/>
      <c r="B166" s="1553"/>
      <c r="C166" s="1553"/>
      <c r="D166" s="272"/>
      <c r="L166" s="1062"/>
      <c r="M166" s="1553"/>
      <c r="N166" s="1553"/>
      <c r="O166" s="1062"/>
      <c r="P166" s="1062"/>
      <c r="Q166" s="1062"/>
      <c r="R166" s="1062"/>
      <c r="S166" s="1553"/>
      <c r="T166" s="1062"/>
      <c r="U166" s="1062"/>
      <c r="V166" s="468"/>
      <c r="W166" s="1062"/>
      <c r="X166" s="1062"/>
      <c r="Y166" s="1062"/>
      <c r="Z166" s="1062"/>
      <c r="AA166" s="1062"/>
      <c r="AB166" s="1549"/>
      <c r="AC166" s="487"/>
      <c r="AD166" s="487"/>
      <c r="AE166" s="487"/>
      <c r="AF166" s="487"/>
    </row>
    <row r="167" spans="1:32" s="1558" customFormat="1" ht="11.25" customHeight="1">
      <c r="A167" s="899"/>
      <c r="B167" s="1553"/>
      <c r="C167" s="1553"/>
      <c r="D167" s="272"/>
      <c r="L167" s="1062"/>
      <c r="M167" s="1553"/>
      <c r="N167" s="1553"/>
      <c r="O167" s="1062"/>
      <c r="P167" s="1062"/>
      <c r="Q167" s="1062"/>
      <c r="R167" s="1062"/>
      <c r="S167" s="1553"/>
      <c r="T167" s="1062"/>
      <c r="U167" s="1062"/>
      <c r="V167" s="468"/>
      <c r="W167" s="1062"/>
      <c r="X167" s="1062"/>
      <c r="Y167" s="1062"/>
      <c r="Z167" s="1062"/>
      <c r="AA167" s="1062"/>
      <c r="AB167" s="1549"/>
      <c r="AC167" s="487"/>
      <c r="AD167" s="487"/>
      <c r="AE167" s="487"/>
      <c r="AF167" s="487"/>
    </row>
    <row r="168" spans="1:32" s="1558" customFormat="1" ht="11.25" customHeight="1">
      <c r="A168" s="899"/>
      <c r="B168" s="1553"/>
      <c r="C168" s="1553"/>
      <c r="D168" s="272"/>
      <c r="L168" s="1062"/>
      <c r="M168" s="1553"/>
      <c r="N168" s="1553"/>
      <c r="O168" s="1062"/>
      <c r="P168" s="1062"/>
      <c r="Q168" s="1062"/>
      <c r="R168" s="1062"/>
      <c r="S168" s="1553"/>
      <c r="T168" s="1062"/>
      <c r="U168" s="1062"/>
      <c r="V168" s="468"/>
      <c r="W168" s="1062"/>
      <c r="X168" s="1062"/>
      <c r="Y168" s="1062"/>
      <c r="Z168" s="1062"/>
      <c r="AA168" s="1062"/>
      <c r="AB168" s="1549"/>
      <c r="AC168" s="487"/>
      <c r="AD168" s="487"/>
      <c r="AE168" s="487"/>
      <c r="AF168" s="487"/>
    </row>
    <row r="169" spans="1:32" s="1558" customFormat="1" ht="11.25" customHeight="1">
      <c r="A169" s="899"/>
      <c r="B169" s="1553"/>
      <c r="C169" s="1553"/>
      <c r="D169" s="272"/>
      <c r="L169" s="1062"/>
      <c r="M169" s="1553"/>
      <c r="N169" s="1553"/>
      <c r="O169" s="1062"/>
      <c r="P169" s="1062"/>
      <c r="Q169" s="1062"/>
      <c r="R169" s="1062"/>
      <c r="S169" s="1553"/>
      <c r="T169" s="1062"/>
      <c r="U169" s="1062"/>
      <c r="V169" s="468"/>
      <c r="W169" s="1062"/>
      <c r="X169" s="1062"/>
      <c r="Y169" s="1062"/>
      <c r="Z169" s="1062"/>
      <c r="AA169" s="1062"/>
      <c r="AB169" s="1549"/>
      <c r="AC169" s="487"/>
      <c r="AD169" s="487"/>
      <c r="AE169" s="487"/>
      <c r="AF169" s="487"/>
    </row>
    <row r="170" spans="1:32" s="1558" customFormat="1" ht="11.25" customHeight="1">
      <c r="A170" s="899"/>
      <c r="B170" s="1553"/>
      <c r="C170" s="1553"/>
      <c r="D170" s="272"/>
      <c r="L170" s="1062"/>
      <c r="M170" s="1553"/>
      <c r="N170" s="1553"/>
      <c r="O170" s="1062"/>
      <c r="P170" s="1062"/>
      <c r="Q170" s="1062"/>
      <c r="R170" s="1062"/>
      <c r="S170" s="1553"/>
      <c r="T170" s="1062"/>
      <c r="U170" s="1062"/>
      <c r="V170" s="468"/>
      <c r="W170" s="1062"/>
      <c r="X170" s="1062"/>
      <c r="Y170" s="1062"/>
      <c r="Z170" s="1062"/>
      <c r="AA170" s="1062"/>
      <c r="AB170" s="1549"/>
      <c r="AC170" s="487"/>
      <c r="AD170" s="487"/>
      <c r="AE170" s="487"/>
      <c r="AF170" s="487"/>
    </row>
    <row r="171" spans="1:32" s="1558" customFormat="1" ht="11.25" customHeight="1">
      <c r="A171" s="899"/>
      <c r="B171" s="1553"/>
      <c r="C171" s="1553"/>
      <c r="D171" s="272"/>
      <c r="L171" s="1062"/>
      <c r="M171" s="1553"/>
      <c r="N171" s="1553"/>
      <c r="O171" s="1062"/>
      <c r="P171" s="1062"/>
      <c r="Q171" s="1062"/>
      <c r="R171" s="1062"/>
      <c r="S171" s="1553"/>
      <c r="T171" s="1062"/>
      <c r="U171" s="1062"/>
      <c r="V171" s="468"/>
      <c r="W171" s="1062"/>
      <c r="X171" s="1062"/>
      <c r="Y171" s="1062"/>
      <c r="Z171" s="1062"/>
      <c r="AA171" s="1062"/>
      <c r="AB171" s="1549"/>
      <c r="AC171" s="487"/>
      <c r="AD171" s="487"/>
      <c r="AE171" s="487"/>
      <c r="AF171" s="487"/>
    </row>
    <row r="172" spans="1:32" s="1558" customFormat="1" ht="11.25" customHeight="1">
      <c r="A172" s="899"/>
      <c r="B172" s="1553"/>
      <c r="C172" s="1553"/>
      <c r="D172" s="272"/>
      <c r="L172" s="1062"/>
      <c r="M172" s="1553"/>
      <c r="N172" s="1553"/>
      <c r="O172" s="1062"/>
      <c r="P172" s="1062"/>
      <c r="Q172" s="1062"/>
      <c r="R172" s="1062"/>
      <c r="S172" s="1553"/>
      <c r="T172" s="1062"/>
      <c r="U172" s="1062"/>
      <c r="V172" s="468"/>
      <c r="W172" s="1062"/>
      <c r="X172" s="1062"/>
      <c r="Y172" s="1062"/>
      <c r="Z172" s="1062"/>
      <c r="AA172" s="1062"/>
      <c r="AB172" s="1549"/>
      <c r="AC172" s="487"/>
      <c r="AD172" s="487"/>
      <c r="AE172" s="487"/>
      <c r="AF172" s="487"/>
    </row>
    <row r="173" spans="1:32" s="1558" customFormat="1" ht="11.25" customHeight="1">
      <c r="A173" s="899"/>
      <c r="B173" s="1553"/>
      <c r="C173" s="1553"/>
      <c r="D173" s="272"/>
      <c r="L173" s="1062"/>
      <c r="M173" s="1553"/>
      <c r="N173" s="1553"/>
      <c r="O173" s="1062"/>
      <c r="P173" s="1062"/>
      <c r="Q173" s="1062"/>
      <c r="R173" s="1062"/>
      <c r="S173" s="1553"/>
      <c r="T173" s="1062"/>
      <c r="U173" s="1062"/>
      <c r="V173" s="468"/>
      <c r="W173" s="1062"/>
      <c r="X173" s="1062"/>
      <c r="Y173" s="1062"/>
      <c r="Z173" s="1062"/>
      <c r="AA173" s="1062"/>
      <c r="AB173" s="1549"/>
      <c r="AC173" s="487"/>
      <c r="AD173" s="487"/>
      <c r="AE173" s="487"/>
      <c r="AF173" s="487"/>
    </row>
    <row r="174" spans="1:32" s="1558" customFormat="1" ht="11.25" customHeight="1">
      <c r="A174" s="899"/>
      <c r="B174" s="1553"/>
      <c r="C174" s="1553"/>
      <c r="D174" s="272"/>
      <c r="L174" s="1062"/>
      <c r="M174" s="1553"/>
      <c r="N174" s="1553"/>
      <c r="O174" s="1062"/>
      <c r="P174" s="1062"/>
      <c r="Q174" s="1062"/>
      <c r="R174" s="1062"/>
      <c r="S174" s="1553"/>
      <c r="T174" s="1062"/>
      <c r="U174" s="1062"/>
      <c r="V174" s="468"/>
      <c r="W174" s="1062"/>
      <c r="X174" s="1062"/>
      <c r="Y174" s="1062"/>
      <c r="Z174" s="1062"/>
      <c r="AA174" s="1062"/>
      <c r="AB174" s="1549"/>
      <c r="AC174" s="487"/>
      <c r="AD174" s="487"/>
      <c r="AE174" s="487"/>
      <c r="AF174" s="487"/>
    </row>
    <row r="175" spans="1:32" s="1558" customFormat="1" ht="11.25" customHeight="1">
      <c r="A175" s="899"/>
      <c r="B175" s="1553"/>
      <c r="C175" s="1553"/>
      <c r="D175" s="272"/>
      <c r="L175" s="1062"/>
      <c r="M175" s="1553"/>
      <c r="N175" s="1553"/>
      <c r="O175" s="1062"/>
      <c r="P175" s="1062"/>
      <c r="Q175" s="1062"/>
      <c r="R175" s="1062"/>
      <c r="S175" s="1553"/>
      <c r="T175" s="1062"/>
      <c r="U175" s="1062"/>
      <c r="V175" s="468"/>
      <c r="W175" s="1062"/>
      <c r="X175" s="1062"/>
      <c r="Y175" s="1062"/>
      <c r="Z175" s="1062"/>
      <c r="AA175" s="1062"/>
      <c r="AB175" s="1549"/>
      <c r="AC175" s="487"/>
      <c r="AD175" s="487"/>
      <c r="AE175" s="487"/>
      <c r="AF175" s="487"/>
    </row>
    <row r="176" spans="1:32" s="1558" customFormat="1" ht="11.25" customHeight="1">
      <c r="A176" s="899"/>
      <c r="B176" s="1553"/>
      <c r="C176" s="1553"/>
      <c r="D176" s="272"/>
      <c r="L176" s="1062"/>
      <c r="M176" s="1553"/>
      <c r="N176" s="1553"/>
      <c r="O176" s="1062"/>
      <c r="P176" s="1062"/>
      <c r="Q176" s="1062"/>
      <c r="R176" s="1062"/>
      <c r="S176" s="1553"/>
      <c r="T176" s="1062"/>
      <c r="U176" s="1062"/>
      <c r="V176" s="468"/>
      <c r="W176" s="1062"/>
      <c r="X176" s="1062"/>
      <c r="Y176" s="1062"/>
      <c r="Z176" s="1062"/>
      <c r="AA176" s="1062"/>
      <c r="AB176" s="1549"/>
      <c r="AC176" s="487"/>
      <c r="AD176" s="487"/>
      <c r="AE176" s="487"/>
      <c r="AF176" s="487"/>
    </row>
    <row r="177" spans="1:32" s="1558" customFormat="1" ht="11.25" customHeight="1">
      <c r="A177" s="899"/>
      <c r="B177" s="1553"/>
      <c r="C177" s="1553"/>
      <c r="D177" s="272"/>
      <c r="L177" s="1062"/>
      <c r="M177" s="1553"/>
      <c r="N177" s="1553"/>
      <c r="O177" s="1062"/>
      <c r="P177" s="1062"/>
      <c r="Q177" s="1062"/>
      <c r="R177" s="1062"/>
      <c r="S177" s="1553"/>
      <c r="T177" s="1062"/>
      <c r="U177" s="1062"/>
      <c r="V177" s="468"/>
      <c r="W177" s="1062"/>
      <c r="X177" s="1062"/>
      <c r="Y177" s="1062"/>
      <c r="Z177" s="1062"/>
      <c r="AA177" s="1062"/>
      <c r="AB177" s="1549"/>
      <c r="AC177" s="487"/>
      <c r="AD177" s="487"/>
      <c r="AE177" s="487"/>
      <c r="AF177" s="487"/>
    </row>
    <row r="178" spans="1:32" s="1558" customFormat="1" ht="11.25" customHeight="1">
      <c r="A178" s="899"/>
      <c r="B178" s="1553"/>
      <c r="C178" s="1553"/>
      <c r="D178" s="272"/>
      <c r="L178" s="1062"/>
      <c r="M178" s="1553"/>
      <c r="N178" s="1553"/>
      <c r="O178" s="1062"/>
      <c r="P178" s="1062"/>
      <c r="Q178" s="1062"/>
      <c r="R178" s="1062"/>
      <c r="S178" s="1553"/>
      <c r="T178" s="1062"/>
      <c r="U178" s="1062"/>
      <c r="V178" s="468"/>
      <c r="W178" s="1062"/>
      <c r="X178" s="1062"/>
      <c r="Y178" s="1062"/>
      <c r="Z178" s="1062"/>
      <c r="AA178" s="1062"/>
      <c r="AB178" s="1549"/>
      <c r="AC178" s="487"/>
      <c r="AD178" s="487"/>
      <c r="AE178" s="487"/>
      <c r="AF178" s="487"/>
    </row>
    <row r="179" spans="1:32" s="1558" customFormat="1" ht="11.25" customHeight="1">
      <c r="A179" s="899"/>
      <c r="B179" s="1553"/>
      <c r="C179" s="1553"/>
      <c r="D179" s="272"/>
      <c r="L179" s="1062"/>
      <c r="M179" s="1553"/>
      <c r="N179" s="1553"/>
      <c r="O179" s="1062"/>
      <c r="P179" s="1062"/>
      <c r="Q179" s="1062"/>
      <c r="R179" s="1062"/>
      <c r="S179" s="1553"/>
      <c r="T179" s="1062"/>
      <c r="U179" s="1062"/>
      <c r="V179" s="468"/>
      <c r="W179" s="1062"/>
      <c r="X179" s="1062"/>
      <c r="Y179" s="1062"/>
      <c r="Z179" s="1062"/>
      <c r="AA179" s="1062"/>
      <c r="AB179" s="1549"/>
      <c r="AC179" s="487"/>
      <c r="AD179" s="487"/>
      <c r="AE179" s="487"/>
      <c r="AF179" s="487"/>
    </row>
    <row r="180" spans="1:32" s="1558" customFormat="1" ht="11.25" customHeight="1">
      <c r="A180" s="899"/>
      <c r="B180" s="1553"/>
      <c r="C180" s="1553"/>
      <c r="D180" s="272"/>
      <c r="L180" s="1062"/>
      <c r="M180" s="1553"/>
      <c r="N180" s="1553"/>
      <c r="O180" s="1062"/>
      <c r="P180" s="1062"/>
      <c r="Q180" s="1062"/>
      <c r="R180" s="1062"/>
      <c r="S180" s="1553"/>
      <c r="T180" s="1062"/>
      <c r="U180" s="1062"/>
      <c r="V180" s="468"/>
      <c r="W180" s="1062"/>
      <c r="X180" s="1062"/>
      <c r="Y180" s="1062"/>
      <c r="Z180" s="1062"/>
      <c r="AA180" s="1062"/>
      <c r="AB180" s="1549"/>
      <c r="AC180" s="487"/>
      <c r="AD180" s="487"/>
      <c r="AE180" s="487"/>
      <c r="AF180" s="487"/>
    </row>
    <row r="181" spans="1:32" s="1558" customFormat="1" ht="11.25" customHeight="1">
      <c r="A181" s="899"/>
      <c r="B181" s="1553"/>
      <c r="C181" s="1553"/>
      <c r="D181" s="272"/>
      <c r="L181" s="1062"/>
      <c r="M181" s="1553"/>
      <c r="N181" s="1553"/>
      <c r="O181" s="1062"/>
      <c r="P181" s="1062"/>
      <c r="Q181" s="1062"/>
      <c r="R181" s="1062"/>
      <c r="S181" s="1553"/>
      <c r="T181" s="1062"/>
      <c r="U181" s="1062"/>
      <c r="V181" s="468"/>
      <c r="W181" s="1062"/>
      <c r="X181" s="1062"/>
      <c r="Y181" s="1062"/>
      <c r="Z181" s="1062"/>
      <c r="AA181" s="1062"/>
      <c r="AB181" s="1549"/>
      <c r="AC181" s="487"/>
      <c r="AD181" s="487"/>
      <c r="AE181" s="487"/>
      <c r="AF181" s="487"/>
    </row>
    <row r="182" spans="1:32" s="1558" customFormat="1" ht="11.25" customHeight="1">
      <c r="A182" s="899"/>
      <c r="B182" s="1553"/>
      <c r="C182" s="1553"/>
      <c r="D182" s="272"/>
      <c r="L182" s="1062"/>
      <c r="M182" s="1553"/>
      <c r="N182" s="1553"/>
      <c r="O182" s="1062"/>
      <c r="P182" s="1062"/>
      <c r="Q182" s="1062"/>
      <c r="R182" s="1062"/>
      <c r="S182" s="1553"/>
      <c r="T182" s="1062"/>
      <c r="U182" s="1062"/>
      <c r="V182" s="468"/>
      <c r="W182" s="1062"/>
      <c r="X182" s="1062"/>
      <c r="Y182" s="1062"/>
      <c r="Z182" s="1062"/>
      <c r="AA182" s="1062"/>
      <c r="AB182" s="1549"/>
      <c r="AC182" s="487"/>
      <c r="AD182" s="487"/>
      <c r="AE182" s="487"/>
      <c r="AF182" s="487"/>
    </row>
    <row r="183" spans="1:32" s="1558" customFormat="1" ht="11.25" customHeight="1">
      <c r="A183" s="899"/>
      <c r="B183" s="1553"/>
      <c r="C183" s="1553"/>
      <c r="D183" s="272"/>
      <c r="L183" s="1062"/>
      <c r="M183" s="1553"/>
      <c r="N183" s="1553"/>
      <c r="O183" s="1062"/>
      <c r="P183" s="1062"/>
      <c r="Q183" s="1062"/>
      <c r="R183" s="1062"/>
      <c r="S183" s="1553"/>
      <c r="T183" s="1062"/>
      <c r="U183" s="1062"/>
      <c r="V183" s="468"/>
      <c r="W183" s="1062"/>
      <c r="X183" s="1062"/>
      <c r="Y183" s="1062"/>
      <c r="Z183" s="1062"/>
      <c r="AA183" s="1062"/>
      <c r="AB183" s="1549"/>
      <c r="AC183" s="487"/>
      <c r="AD183" s="487"/>
      <c r="AE183" s="487"/>
      <c r="AF183" s="487"/>
    </row>
    <row r="184" spans="1:32" s="1558" customFormat="1" ht="11.25" customHeight="1">
      <c r="A184" s="899"/>
      <c r="B184" s="1553"/>
      <c r="C184" s="1553"/>
      <c r="D184" s="272"/>
      <c r="L184" s="1062"/>
      <c r="M184" s="1553"/>
      <c r="N184" s="1553"/>
      <c r="O184" s="1062"/>
      <c r="P184" s="1062"/>
      <c r="Q184" s="1062"/>
      <c r="R184" s="1062"/>
      <c r="S184" s="1553"/>
      <c r="T184" s="1062"/>
      <c r="U184" s="1062"/>
      <c r="V184" s="468"/>
      <c r="W184" s="1062"/>
      <c r="X184" s="1062"/>
      <c r="Y184" s="1062"/>
      <c r="Z184" s="1062"/>
      <c r="AA184" s="1062"/>
      <c r="AB184" s="1549"/>
      <c r="AC184" s="487"/>
      <c r="AD184" s="487"/>
      <c r="AE184" s="487"/>
      <c r="AF184" s="487"/>
    </row>
    <row r="185" spans="1:32" s="1558" customFormat="1" ht="11.25" customHeight="1">
      <c r="A185" s="899"/>
      <c r="B185" s="1553"/>
      <c r="C185" s="1553"/>
      <c r="D185" s="272"/>
      <c r="L185" s="1062"/>
      <c r="M185" s="1553"/>
      <c r="N185" s="1553"/>
      <c r="O185" s="1062"/>
      <c r="P185" s="1062"/>
      <c r="Q185" s="1062"/>
      <c r="R185" s="1062"/>
      <c r="S185" s="1553"/>
      <c r="T185" s="1062"/>
      <c r="U185" s="1062"/>
      <c r="V185" s="468"/>
      <c r="W185" s="1062"/>
      <c r="X185" s="1062"/>
      <c r="Y185" s="1062"/>
      <c r="Z185" s="1062"/>
      <c r="AA185" s="1062"/>
      <c r="AB185" s="1549"/>
      <c r="AC185" s="487"/>
      <c r="AD185" s="487"/>
      <c r="AE185" s="487"/>
      <c r="AF185" s="487"/>
    </row>
    <row r="186" spans="1:32" s="1558" customFormat="1" ht="11.25" customHeight="1">
      <c r="A186" s="899"/>
      <c r="B186" s="1553"/>
      <c r="C186" s="1553"/>
      <c r="D186" s="272"/>
      <c r="L186" s="1062"/>
      <c r="M186" s="1553"/>
      <c r="N186" s="1553"/>
      <c r="O186" s="1062"/>
      <c r="P186" s="1062"/>
      <c r="Q186" s="1062"/>
      <c r="R186" s="1062"/>
      <c r="S186" s="1553"/>
      <c r="T186" s="1062"/>
      <c r="U186" s="1062"/>
      <c r="V186" s="468"/>
      <c r="W186" s="1062"/>
      <c r="X186" s="1062"/>
      <c r="Y186" s="1062"/>
      <c r="Z186" s="1062"/>
      <c r="AA186" s="1062"/>
      <c r="AB186" s="1549"/>
      <c r="AC186" s="487"/>
      <c r="AD186" s="487"/>
      <c r="AE186" s="487"/>
      <c r="AF186" s="487"/>
    </row>
    <row r="187" spans="1:32" s="1558" customFormat="1" ht="11.25" customHeight="1">
      <c r="A187" s="899"/>
      <c r="B187" s="1553"/>
      <c r="C187" s="1553"/>
      <c r="D187" s="272"/>
      <c r="L187" s="1062"/>
      <c r="M187" s="1553"/>
      <c r="N187" s="1553"/>
      <c r="O187" s="1062"/>
      <c r="P187" s="1062"/>
      <c r="Q187" s="1062"/>
      <c r="R187" s="1062"/>
      <c r="S187" s="1553"/>
      <c r="T187" s="1062"/>
      <c r="U187" s="1062"/>
      <c r="V187" s="468"/>
      <c r="W187" s="1062"/>
      <c r="X187" s="1062"/>
      <c r="Y187" s="1062"/>
      <c r="Z187" s="1062"/>
      <c r="AA187" s="1062"/>
      <c r="AB187" s="1549"/>
      <c r="AC187" s="487"/>
      <c r="AD187" s="487"/>
      <c r="AE187" s="487"/>
      <c r="AF187" s="487"/>
    </row>
    <row r="188" spans="1:32" s="1558" customFormat="1" ht="11.25" customHeight="1">
      <c r="A188" s="899"/>
      <c r="B188" s="1553"/>
      <c r="C188" s="1553"/>
      <c r="D188" s="272"/>
      <c r="L188" s="1062"/>
      <c r="M188" s="1553"/>
      <c r="N188" s="1553"/>
      <c r="O188" s="1062"/>
      <c r="P188" s="1062"/>
      <c r="Q188" s="1062"/>
      <c r="R188" s="1062"/>
      <c r="S188" s="1553"/>
      <c r="T188" s="1062"/>
      <c r="U188" s="1062"/>
      <c r="V188" s="468"/>
      <c r="W188" s="1062"/>
      <c r="X188" s="1062"/>
      <c r="Y188" s="1062"/>
      <c r="Z188" s="1062"/>
      <c r="AA188" s="1062"/>
      <c r="AB188" s="1549"/>
      <c r="AC188" s="487"/>
      <c r="AD188" s="487"/>
      <c r="AE188" s="487"/>
      <c r="AF188" s="487"/>
    </row>
    <row r="189" spans="1:32" s="1558" customFormat="1" ht="11.25" customHeight="1">
      <c r="A189" s="899"/>
      <c r="B189" s="1553"/>
      <c r="C189" s="1553"/>
      <c r="D189" s="272"/>
      <c r="L189" s="1062"/>
      <c r="M189" s="1553"/>
      <c r="N189" s="1553"/>
      <c r="O189" s="1062"/>
      <c r="P189" s="1062"/>
      <c r="Q189" s="1062"/>
      <c r="R189" s="1062"/>
      <c r="S189" s="1553"/>
      <c r="T189" s="1062"/>
      <c r="U189" s="1062"/>
      <c r="V189" s="468"/>
      <c r="W189" s="1062"/>
      <c r="X189" s="1062"/>
      <c r="Y189" s="1062"/>
      <c r="Z189" s="1062"/>
      <c r="AA189" s="1062"/>
      <c r="AB189" s="1549"/>
      <c r="AC189" s="487"/>
      <c r="AD189" s="487"/>
      <c r="AE189" s="487"/>
      <c r="AF189" s="487"/>
    </row>
    <row r="190" spans="1:32" s="1558" customFormat="1" ht="11.25" customHeight="1">
      <c r="A190" s="899"/>
      <c r="B190" s="1553"/>
      <c r="C190" s="1553"/>
      <c r="D190" s="272"/>
      <c r="L190" s="1062"/>
      <c r="M190" s="1553"/>
      <c r="N190" s="1553"/>
      <c r="O190" s="1062"/>
      <c r="P190" s="1062"/>
      <c r="Q190" s="1062"/>
      <c r="R190" s="1062"/>
      <c r="S190" s="1553"/>
      <c r="T190" s="1062"/>
      <c r="U190" s="1062"/>
      <c r="V190" s="468"/>
      <c r="W190" s="1062"/>
      <c r="X190" s="1062"/>
      <c r="Y190" s="1062"/>
      <c r="Z190" s="1062"/>
      <c r="AA190" s="1062"/>
      <c r="AB190" s="1549"/>
      <c r="AC190" s="487"/>
      <c r="AD190" s="487"/>
      <c r="AE190" s="487"/>
      <c r="AF190" s="487"/>
    </row>
    <row r="191" spans="1:32" s="1558" customFormat="1" ht="11.25" customHeight="1">
      <c r="A191" s="899"/>
      <c r="B191" s="1553"/>
      <c r="C191" s="1553"/>
      <c r="D191" s="272"/>
      <c r="L191" s="1062"/>
      <c r="M191" s="1553"/>
      <c r="N191" s="1553"/>
      <c r="O191" s="1062"/>
      <c r="P191" s="1062"/>
      <c r="Q191" s="1062"/>
      <c r="R191" s="1062"/>
      <c r="S191" s="1553"/>
      <c r="T191" s="1062"/>
      <c r="U191" s="1062"/>
      <c r="V191" s="468"/>
      <c r="W191" s="1062"/>
      <c r="X191" s="1062"/>
      <c r="Y191" s="1062"/>
      <c r="Z191" s="1062"/>
      <c r="AA191" s="1062"/>
      <c r="AB191" s="1549"/>
      <c r="AC191" s="487"/>
      <c r="AD191" s="487"/>
      <c r="AE191" s="487"/>
      <c r="AF191" s="487"/>
    </row>
    <row r="192" spans="1:32" s="1558" customFormat="1" ht="11.25" customHeight="1">
      <c r="A192" s="899"/>
      <c r="B192" s="1553"/>
      <c r="C192" s="1553"/>
      <c r="D192" s="272"/>
      <c r="L192" s="1062"/>
      <c r="M192" s="1553"/>
      <c r="N192" s="1553"/>
      <c r="O192" s="1062"/>
      <c r="P192" s="1062"/>
      <c r="Q192" s="1062"/>
      <c r="R192" s="1062"/>
      <c r="S192" s="1553"/>
      <c r="T192" s="1062"/>
      <c r="U192" s="1062"/>
      <c r="V192" s="468"/>
      <c r="W192" s="1062"/>
      <c r="X192" s="1062"/>
      <c r="Y192" s="1062"/>
      <c r="Z192" s="1062"/>
      <c r="AA192" s="1062"/>
      <c r="AB192" s="1549"/>
      <c r="AC192" s="487"/>
      <c r="AD192" s="487"/>
      <c r="AE192" s="487"/>
      <c r="AF192" s="487"/>
    </row>
    <row r="193" spans="1:32" s="1558" customFormat="1" ht="11.25" customHeight="1">
      <c r="A193" s="899"/>
      <c r="B193" s="1553"/>
      <c r="C193" s="1553"/>
      <c r="D193" s="272"/>
      <c r="L193" s="1062"/>
      <c r="M193" s="1553"/>
      <c r="N193" s="1553"/>
      <c r="O193" s="1062"/>
      <c r="P193" s="1062"/>
      <c r="Q193" s="1062"/>
      <c r="R193" s="1062"/>
      <c r="S193" s="1553"/>
      <c r="T193" s="1062"/>
      <c r="U193" s="1062"/>
      <c r="V193" s="468"/>
      <c r="W193" s="1062"/>
      <c r="X193" s="1062"/>
      <c r="Y193" s="1062"/>
      <c r="Z193" s="1062"/>
      <c r="AA193" s="1062"/>
      <c r="AB193" s="1549"/>
      <c r="AC193" s="487"/>
      <c r="AD193" s="487"/>
      <c r="AE193" s="487"/>
      <c r="AF193" s="487"/>
    </row>
    <row r="194" spans="1:32" s="1558" customFormat="1" ht="11.25" customHeight="1">
      <c r="A194" s="899"/>
      <c r="B194" s="1553"/>
      <c r="C194" s="1553"/>
      <c r="D194" s="272"/>
      <c r="L194" s="1062"/>
      <c r="M194" s="1553"/>
      <c r="N194" s="1553"/>
      <c r="O194" s="1062"/>
      <c r="P194" s="1062"/>
      <c r="Q194" s="1062"/>
      <c r="R194" s="1062"/>
      <c r="S194" s="1553"/>
      <c r="T194" s="1062"/>
      <c r="U194" s="1062"/>
      <c r="V194" s="468"/>
      <c r="W194" s="1062"/>
      <c r="X194" s="1062"/>
      <c r="Y194" s="1062"/>
      <c r="Z194" s="1062"/>
      <c r="AA194" s="1062"/>
      <c r="AB194" s="1549"/>
      <c r="AC194" s="487"/>
      <c r="AD194" s="487"/>
      <c r="AE194" s="487"/>
      <c r="AF194" s="487"/>
    </row>
    <row r="195" spans="1:32" s="1558" customFormat="1" ht="11.25" customHeight="1">
      <c r="A195" s="899"/>
      <c r="B195" s="1553"/>
      <c r="C195" s="1553"/>
      <c r="D195" s="272"/>
      <c r="L195" s="1062"/>
      <c r="M195" s="1553"/>
      <c r="N195" s="1553"/>
      <c r="O195" s="1062"/>
      <c r="P195" s="1062"/>
      <c r="Q195" s="1062"/>
      <c r="R195" s="1062"/>
      <c r="S195" s="1553"/>
      <c r="T195" s="1062"/>
      <c r="U195" s="1062"/>
      <c r="V195" s="468"/>
      <c r="W195" s="1062"/>
      <c r="X195" s="1062"/>
      <c r="Y195" s="1062"/>
      <c r="Z195" s="1062"/>
      <c r="AA195" s="1062"/>
      <c r="AB195" s="1549"/>
      <c r="AC195" s="487"/>
      <c r="AD195" s="487"/>
      <c r="AE195" s="487"/>
      <c r="AF195" s="487"/>
    </row>
    <row r="199" spans="1:32" ht="11.25" customHeight="1">
      <c r="A199" s="902"/>
      <c r="B199" s="1548"/>
      <c r="D199" s="1548"/>
      <c r="L199" s="1548"/>
      <c r="O199" s="1548"/>
      <c r="P199" s="1548"/>
      <c r="Q199" s="1548"/>
      <c r="R199" s="1548"/>
      <c r="T199" s="1548"/>
      <c r="U199" s="1548"/>
      <c r="V199" s="1548"/>
      <c r="W199" s="1548"/>
      <c r="X199" s="1548"/>
      <c r="Y199" s="1548"/>
      <c r="Z199" s="1548"/>
      <c r="AA199" s="1548"/>
      <c r="AB199" s="1548"/>
      <c r="AC199" s="1548"/>
      <c r="AD199" s="1548"/>
      <c r="AE199" s="1548"/>
      <c r="AF199" s="1548"/>
    </row>
    <row r="200" spans="1:32" ht="11.25" customHeight="1">
      <c r="A200" s="902"/>
      <c r="B200" s="1548"/>
      <c r="D200" s="1548"/>
      <c r="L200" s="1548"/>
      <c r="O200" s="1548"/>
      <c r="P200" s="1548"/>
      <c r="Q200" s="1548"/>
      <c r="R200" s="1548"/>
      <c r="T200" s="1548"/>
      <c r="U200" s="1548"/>
      <c r="V200" s="1548"/>
      <c r="W200" s="1548"/>
      <c r="X200" s="1548"/>
      <c r="Y200" s="1548"/>
      <c r="Z200" s="1548"/>
      <c r="AA200" s="1548"/>
      <c r="AB200" s="1548"/>
      <c r="AC200" s="1548"/>
      <c r="AD200" s="1548"/>
      <c r="AE200" s="1548"/>
      <c r="AF200" s="1548"/>
    </row>
    <row r="201" spans="1:32" ht="11.25" customHeight="1">
      <c r="A201" s="902"/>
      <c r="B201" s="1548"/>
      <c r="D201" s="1548"/>
      <c r="L201" s="1548"/>
      <c r="O201" s="1548"/>
      <c r="P201" s="1548"/>
      <c r="Q201" s="1548"/>
      <c r="R201" s="1548"/>
      <c r="T201" s="1548"/>
      <c r="U201" s="1548"/>
      <c r="V201" s="1548"/>
      <c r="W201" s="1548"/>
      <c r="X201" s="1548"/>
      <c r="Y201" s="1548"/>
      <c r="Z201" s="1548"/>
      <c r="AA201" s="1548"/>
      <c r="AB201" s="1548"/>
      <c r="AC201" s="1548"/>
      <c r="AD201" s="1548"/>
      <c r="AE201" s="1548"/>
      <c r="AF201" s="1548"/>
    </row>
    <row r="202" spans="1:32" ht="11.25" customHeight="1">
      <c r="A202" s="902"/>
      <c r="B202" s="1548"/>
      <c r="D202" s="1548"/>
      <c r="L202" s="1548"/>
      <c r="O202" s="1548"/>
      <c r="P202" s="1548"/>
      <c r="Q202" s="1548"/>
      <c r="R202" s="1548"/>
      <c r="T202" s="1548"/>
      <c r="U202" s="1548"/>
      <c r="V202" s="1548"/>
      <c r="W202" s="1548"/>
      <c r="X202" s="1548"/>
      <c r="Y202" s="1548"/>
      <c r="Z202" s="1548"/>
      <c r="AA202" s="1548"/>
      <c r="AB202" s="1548"/>
      <c r="AC202" s="1548"/>
      <c r="AD202" s="1548"/>
      <c r="AE202" s="1548"/>
      <c r="AF202" s="1548"/>
    </row>
    <row r="203" spans="1:32" ht="11.25" customHeight="1">
      <c r="A203" s="902"/>
      <c r="B203" s="1548"/>
      <c r="D203" s="1548"/>
      <c r="L203" s="1548"/>
      <c r="O203" s="1548"/>
      <c r="P203" s="1548"/>
      <c r="Q203" s="1548"/>
      <c r="R203" s="1548"/>
      <c r="T203" s="1548"/>
      <c r="U203" s="1548"/>
      <c r="V203" s="1548"/>
      <c r="W203" s="1548"/>
      <c r="X203" s="1548"/>
      <c r="Y203" s="1548"/>
      <c r="Z203" s="1548"/>
      <c r="AA203" s="1548"/>
      <c r="AB203" s="1548"/>
      <c r="AC203" s="1548"/>
      <c r="AD203" s="1548"/>
      <c r="AE203" s="1548"/>
      <c r="AF203" s="1548"/>
    </row>
    <row r="204" spans="1:32" ht="11.25" customHeight="1">
      <c r="A204" s="902"/>
      <c r="B204" s="1548"/>
      <c r="D204" s="1548"/>
      <c r="L204" s="1548"/>
      <c r="O204" s="1548"/>
      <c r="P204" s="1548"/>
      <c r="Q204" s="1548"/>
      <c r="R204" s="1548"/>
      <c r="T204" s="1548"/>
      <c r="U204" s="1548"/>
      <c r="V204" s="1548"/>
      <c r="W204" s="1548"/>
      <c r="X204" s="1548"/>
      <c r="Y204" s="1548"/>
      <c r="Z204" s="1548"/>
      <c r="AA204" s="1548"/>
      <c r="AB204" s="1548"/>
      <c r="AC204" s="1548"/>
      <c r="AD204" s="1548"/>
      <c r="AE204" s="1548"/>
      <c r="AF204" s="1548"/>
    </row>
    <row r="205" spans="1:32" ht="11.25" customHeight="1">
      <c r="A205" s="902"/>
      <c r="B205" s="1548"/>
      <c r="D205" s="1548"/>
      <c r="L205" s="1548"/>
      <c r="O205" s="1548"/>
      <c r="P205" s="1548"/>
      <c r="Q205" s="1548"/>
      <c r="R205" s="1548"/>
      <c r="T205" s="1548"/>
      <c r="U205" s="1548"/>
      <c r="V205" s="1548"/>
      <c r="W205" s="1548"/>
      <c r="X205" s="1548"/>
      <c r="Y205" s="1548"/>
      <c r="Z205" s="1548"/>
      <c r="AA205" s="1548"/>
      <c r="AB205" s="1548"/>
      <c r="AC205" s="1548"/>
      <c r="AD205" s="1548"/>
      <c r="AE205" s="1548"/>
      <c r="AF205" s="1548"/>
    </row>
    <row r="206" spans="1:32" ht="11.25" customHeight="1">
      <c r="A206" s="902"/>
      <c r="B206" s="1548"/>
      <c r="D206" s="1548"/>
      <c r="L206" s="1548"/>
      <c r="O206" s="1548"/>
      <c r="P206" s="1548"/>
      <c r="Q206" s="1548"/>
      <c r="R206" s="1548"/>
      <c r="T206" s="1548"/>
      <c r="U206" s="1548"/>
      <c r="V206" s="1548"/>
      <c r="W206" s="1548"/>
      <c r="X206" s="1548"/>
      <c r="Y206" s="1548"/>
      <c r="Z206" s="1548"/>
      <c r="AA206" s="1548"/>
      <c r="AB206" s="1548"/>
      <c r="AC206" s="1548"/>
      <c r="AD206" s="1548"/>
      <c r="AE206" s="1548"/>
      <c r="AF206" s="1548"/>
    </row>
    <row r="207" spans="1:32" ht="11.25" customHeight="1">
      <c r="A207" s="902"/>
      <c r="B207" s="1548"/>
      <c r="D207" s="1548"/>
      <c r="L207" s="1548"/>
      <c r="O207" s="1548"/>
      <c r="P207" s="1548"/>
      <c r="Q207" s="1548"/>
      <c r="R207" s="1548"/>
      <c r="T207" s="1548"/>
      <c r="U207" s="1548"/>
      <c r="V207" s="1548"/>
      <c r="W207" s="1548"/>
      <c r="X207" s="1548"/>
      <c r="Y207" s="1548"/>
      <c r="Z207" s="1548"/>
      <c r="AA207" s="1548"/>
      <c r="AB207" s="1548"/>
      <c r="AC207" s="1548"/>
      <c r="AD207" s="1548"/>
      <c r="AE207" s="1548"/>
      <c r="AF207" s="1548"/>
    </row>
    <row r="208" spans="1:32" ht="11.25" customHeight="1">
      <c r="A208" s="902"/>
      <c r="B208" s="1548"/>
      <c r="D208" s="1548"/>
      <c r="L208" s="1548"/>
      <c r="O208" s="1548"/>
      <c r="P208" s="1548"/>
      <c r="Q208" s="1548"/>
      <c r="R208" s="1548"/>
      <c r="T208" s="1548"/>
      <c r="U208" s="1548"/>
      <c r="V208" s="1548"/>
      <c r="W208" s="1548"/>
      <c r="X208" s="1548"/>
      <c r="Y208" s="1548"/>
      <c r="Z208" s="1548"/>
      <c r="AA208" s="1548"/>
      <c r="AB208" s="1548"/>
      <c r="AC208" s="1548"/>
      <c r="AD208" s="1548"/>
      <c r="AE208" s="1548"/>
      <c r="AF208" s="1548"/>
    </row>
    <row r="209" spans="1:32" ht="11.25" customHeight="1">
      <c r="A209" s="902"/>
      <c r="B209" s="1548"/>
      <c r="D209" s="1548"/>
      <c r="L209" s="1548"/>
      <c r="O209" s="1548"/>
      <c r="P209" s="1548"/>
      <c r="Q209" s="1548"/>
      <c r="R209" s="1548"/>
      <c r="T209" s="1548"/>
      <c r="U209" s="1548"/>
      <c r="V209" s="1548"/>
      <c r="W209" s="1548"/>
      <c r="X209" s="1548"/>
      <c r="Y209" s="1548"/>
      <c r="Z209" s="1548"/>
      <c r="AA209" s="1548"/>
      <c r="AB209" s="1548"/>
      <c r="AC209" s="1548"/>
      <c r="AD209" s="1548"/>
      <c r="AE209" s="1548"/>
      <c r="AF209" s="1548"/>
    </row>
  </sheetData>
  <sheetProtection formatColumns="0" formatRows="0" insertRows="0" deleteColumns="0" deleteRows="0" sort="0" autoFilter="0"/>
  <mergeCells count="8">
    <mergeCell ref="F39:K39"/>
    <mergeCell ref="F40:K40"/>
    <mergeCell ref="E6:I6"/>
    <mergeCell ref="E7:I7"/>
    <mergeCell ref="F10:G10"/>
    <mergeCell ref="F11:G11"/>
    <mergeCell ref="F12:G12"/>
    <mergeCell ref="E13:G13"/>
  </mergeCells>
  <dataValidations count="5">
    <dataValidation type="decimal" allowBlank="1" showErrorMessage="1" errorTitle="Ошибка" error="Допускается ввод только действительных чисел!" sqref="H32:J34 K32 K33 K34">
      <formula1>-9.99999999999999E+37</formula1>
      <formula2>9.99999999999999E+37</formula2>
    </dataValidation>
    <dataValidation type="decimal" allowBlank="1" showErrorMessage="1" errorTitle="Ошибка" error="Допускается ввод только действительных чисел!" sqref="H30:J30 K30">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H35:J35 K35">
      <formula1>900</formula1>
    </dataValidation>
    <dataValidation type="decimal" allowBlank="1" showErrorMessage="1" errorTitle="Ошибка" error="Допускается ввод только неотрицательных чисел!" sqref="H31:J31 H2:J2 H15:J15 H17:J27 H36:J37 K2 K15 K17 K18 K19 K20 K21 K22 K23 K24 K25 K26 K27 K31 K36 K37">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H28:J28 K28">
      <formula1>900</formula1>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249977111117893"/>
  </sheetPr>
  <dimension ref="A1:Y101"/>
  <sheetViews>
    <sheetView showGridLines="0" topLeftCell="C2" zoomScale="90" workbookViewId="0">
      <selection activeCell="K1" sqref="K1:L1048576"/>
    </sheetView>
  </sheetViews>
  <sheetFormatPr defaultColWidth="10.5703125" defaultRowHeight="11.25" customHeight="1"/>
  <cols>
    <col min="1" max="1" width="9.140625" style="1068" hidden="1" customWidth="1"/>
    <col min="2" max="2" width="3.5703125" style="1559" hidden="1" customWidth="1"/>
    <col min="3" max="3" width="3.7109375" style="1552" customWidth="1"/>
    <col min="4" max="4" width="7.7109375" style="1552" customWidth="1"/>
    <col min="5" max="5" width="69.85546875" style="1552" customWidth="1"/>
    <col min="6" max="6" width="11.140625" style="1552" customWidth="1"/>
    <col min="7" max="8" width="44" style="1552" hidden="1" customWidth="1"/>
    <col min="9" max="12" width="44" style="1552" customWidth="1"/>
    <col min="13" max="13" width="74" style="1552" customWidth="1"/>
    <col min="14" max="14" width="3.7109375" style="1552" customWidth="1"/>
    <col min="15" max="25" width="10.5703125" style="1552"/>
  </cols>
  <sheetData>
    <row r="1" spans="1:14" s="1284" customFormat="1" ht="11.25" hidden="1" customHeight="1">
      <c r="A1" s="461"/>
      <c r="B1" s="437"/>
      <c r="G1" s="347">
        <v>4</v>
      </c>
      <c r="I1" s="347">
        <v>4</v>
      </c>
      <c r="K1" s="1284">
        <v>4</v>
      </c>
      <c r="M1" s="347">
        <v>5</v>
      </c>
    </row>
    <row r="2" spans="1:14" ht="3" customHeight="1"/>
    <row r="3" spans="1:14" ht="35.25" customHeight="1">
      <c r="D3" s="1867" t="str">
        <f>KNE_NAME_FORM</f>
        <v>Форма 7. Информация об основных потребительских характеристиках регулируемых товаров (услуг), тарифы на которые подлежат регулированию, и их соответствии установленным требованиям</v>
      </c>
      <c r="E3" s="1868"/>
      <c r="F3" s="1869"/>
    </row>
    <row r="4" spans="1:14" s="1552" customFormat="1" ht="20.25" customHeight="1">
      <c r="A4" s="863"/>
      <c r="B4" s="437"/>
      <c r="D4" s="1974" t="str">
        <f>IF(org=0,"Не определено",org)</f>
        <v>АО СЗ "КМАпроектжилстрой"</v>
      </c>
      <c r="E4" s="1975"/>
      <c r="F4" s="1976"/>
    </row>
    <row r="5" spans="1:14" ht="11.25" customHeight="1">
      <c r="C5" s="435"/>
      <c r="D5" s="507"/>
      <c r="E5" s="507"/>
      <c r="F5" s="507"/>
      <c r="G5" s="507"/>
      <c r="H5" s="666"/>
      <c r="I5" s="507"/>
      <c r="J5" s="666"/>
      <c r="L5" s="666"/>
      <c r="M5" s="507"/>
    </row>
    <row r="6" spans="1:14" ht="0.75" customHeight="1">
      <c r="C6" s="435"/>
      <c r="D6" s="435"/>
      <c r="E6" s="448"/>
      <c r="F6" s="531"/>
      <c r="G6" s="930"/>
      <c r="H6" s="930"/>
      <c r="I6" s="930" t="s">
        <v>118</v>
      </c>
      <c r="J6" s="930"/>
      <c r="K6" s="930" t="s">
        <v>123</v>
      </c>
      <c r="L6" s="930"/>
    </row>
    <row r="7" spans="1:14" ht="11.25" customHeight="1">
      <c r="D7" s="626"/>
      <c r="E7" s="2164" t="s">
        <v>105</v>
      </c>
      <c r="F7" s="2165"/>
      <c r="G7" s="2200" t="str">
        <f>IF(G6="","",INDEX(DIFFERENTIATION_UNMERGE_VD,MATCH(G6,DIFFERENTIATION_ID_DIFF,0)))</f>
        <v/>
      </c>
      <c r="H7" s="2201"/>
      <c r="I7" s="2200" t="str">
        <f>IF(I6="","",INDEX(DIFFERENTIATION_UNMERGE_VD,MATCH(I6,DIFFERENTIATION_ID_DIFF,0)))</f>
        <v>Холодное водоснабжение. Питьевая вода; Транспортировка. Питьевая вода; Подключение (технологическое присоединение) к централизованной системе водоснабжения</v>
      </c>
      <c r="J7" s="2201"/>
      <c r="K7" s="2200" t="str">
        <f>IF(K6="","",INDEX(DIFFERENTIATION_UNMERGE_VD,MATCH(K6,DIFFERENTIATION_ID_DIFF,0)))</f>
        <v>Холодное водоснабжение. Питьевая вода; Транспортировка. Питьевая вода; Подключение (технологическое присоединение) к централизованной системе водоснабжения</v>
      </c>
      <c r="L7" s="2201"/>
      <c r="M7" s="1928"/>
      <c r="N7" s="435"/>
    </row>
    <row r="8" spans="1:14" ht="11.25" customHeight="1">
      <c r="A8" s="619"/>
      <c r="D8" s="626"/>
      <c r="E8" s="2164" t="s">
        <v>416</v>
      </c>
      <c r="F8" s="2165"/>
      <c r="G8" s="2200" t="str">
        <f>IF(G6="","",INDEX(DIFFERENTIATION_UNMERGE_AREA,MATCH(G6,DIFFERENTIATION_ID_DIFF,0)))</f>
        <v/>
      </c>
      <c r="H8" s="2201"/>
      <c r="I8" s="2200" t="str">
        <f>IF(I6="","",INDEX(DIFFERENTIATION_UNMERGE_AREA,MATCH(I6,DIFFERENTIATION_ID_DIFF,0)))</f>
        <v>без дифференциации</v>
      </c>
      <c r="J8" s="2201"/>
      <c r="K8" s="2200" t="str">
        <f>IF(K6="","",INDEX(DIFFERENTIATION_UNMERGE_AREA,MATCH(K6,DIFFERENTIATION_ID_DIFF,0)))</f>
        <v>без дифференциации</v>
      </c>
      <c r="L8" s="2201"/>
      <c r="M8" s="1933"/>
      <c r="N8" s="435"/>
    </row>
    <row r="9" spans="1:14" ht="11.25" customHeight="1">
      <c r="A9" s="619"/>
      <c r="D9" s="626"/>
      <c r="E9" s="2164" t="s">
        <v>417</v>
      </c>
      <c r="F9" s="2165"/>
      <c r="G9" s="2200" t="str">
        <f>IF(G6="","",INDEX(DIFFERENTIATION_UNMERGE_SYSTEM,MATCH(G6,DIFFERENTIATION_ID_DIFF,0)))</f>
        <v/>
      </c>
      <c r="H9" s="2201"/>
      <c r="I9" s="2200" t="str">
        <f>IF(I6="","",INDEX(DIFFERENTIATION_UNMERGE_SYSTEM,MATCH(I6,DIFFERENTIATION_ID_DIFF,0)))</f>
        <v>Тереховский водозабор</v>
      </c>
      <c r="J9" s="2201"/>
      <c r="K9" s="2200" t="str">
        <f>IF(K6="","",INDEX(DIFFERENTIATION_UNMERGE_SYSTEM,MATCH(K6,DIFFERENTIATION_ID_DIFF,0)))</f>
        <v>Площадка цем/завода</v>
      </c>
      <c r="L9" s="2201"/>
      <c r="M9" s="1933"/>
      <c r="N9" s="435"/>
    </row>
    <row r="10" spans="1:14" s="1552" customFormat="1" ht="11.25" customHeight="1">
      <c r="A10" s="929"/>
      <c r="B10" s="437"/>
      <c r="D10" s="1856" t="s">
        <v>291</v>
      </c>
      <c r="E10" s="1861"/>
      <c r="F10" s="1861"/>
      <c r="G10" s="1861"/>
      <c r="H10" s="1861"/>
      <c r="I10" s="1861"/>
      <c r="J10" s="1855"/>
      <c r="K10" s="1790"/>
      <c r="L10" s="1790"/>
      <c r="M10" s="1933"/>
      <c r="N10" s="435"/>
    </row>
    <row r="11" spans="1:14" s="1552" customFormat="1" ht="22.5" customHeight="1">
      <c r="A11" s="2075"/>
      <c r="B11" s="2075"/>
      <c r="C11" s="573"/>
      <c r="D11" s="618" t="s">
        <v>88</v>
      </c>
      <c r="E11" s="620" t="s">
        <v>1812</v>
      </c>
      <c r="F11" s="620" t="s">
        <v>1614</v>
      </c>
      <c r="G11" s="391" t="s">
        <v>294</v>
      </c>
      <c r="H11" s="391" t="s">
        <v>383</v>
      </c>
      <c r="I11" s="720" t="s">
        <v>294</v>
      </c>
      <c r="J11" s="721" t="s">
        <v>383</v>
      </c>
      <c r="K11" s="1791" t="s">
        <v>294</v>
      </c>
      <c r="L11" s="1791" t="s">
        <v>383</v>
      </c>
      <c r="M11" s="1984"/>
      <c r="N11" s="574"/>
    </row>
    <row r="12" spans="1:14" s="1559" customFormat="1" ht="10.5" customHeight="1">
      <c r="A12" s="864"/>
      <c r="D12" s="933" t="s">
        <v>109</v>
      </c>
      <c r="E12" s="933" t="s">
        <v>110</v>
      </c>
      <c r="F12" s="933" t="s">
        <v>90</v>
      </c>
      <c r="G12" s="934" t="str">
        <f>G1&amp;".1"</f>
        <v>4.1</v>
      </c>
      <c r="H12" s="934" t="str">
        <f>G1&amp;".2"</f>
        <v>4.2</v>
      </c>
      <c r="I12" s="934" t="str">
        <f>I1&amp;".1"</f>
        <v>4.1</v>
      </c>
      <c r="J12" s="934" t="str">
        <f>I1&amp;".2"</f>
        <v>4.2</v>
      </c>
      <c r="K12" s="1798" t="str">
        <f>K1&amp;".1"</f>
        <v>4.1</v>
      </c>
      <c r="L12" s="1798" t="str">
        <f>K1&amp;".2"</f>
        <v>4.2</v>
      </c>
      <c r="M12" s="934"/>
    </row>
    <row r="13" spans="1:14" ht="22.5" hidden="1" customHeight="1">
      <c r="A13" s="2202" t="s">
        <v>595</v>
      </c>
      <c r="D13" s="865" t="s">
        <v>109</v>
      </c>
      <c r="E13" s="195" t="s">
        <v>1615</v>
      </c>
      <c r="F13" s="576" t="s">
        <v>1616</v>
      </c>
      <c r="G13" s="479"/>
      <c r="H13" s="577"/>
      <c r="I13" s="479"/>
      <c r="J13" s="577"/>
      <c r="K13" s="479"/>
      <c r="L13" s="578"/>
      <c r="M13" s="204" t="s">
        <v>1617</v>
      </c>
      <c r="N13" s="635"/>
    </row>
    <row r="14" spans="1:14" ht="22.5" hidden="1" customHeight="1">
      <c r="A14" s="2202"/>
      <c r="D14" s="464" t="s">
        <v>110</v>
      </c>
      <c r="E14" s="195" t="s">
        <v>1618</v>
      </c>
      <c r="F14" s="576" t="s">
        <v>1619</v>
      </c>
      <c r="G14" s="479"/>
      <c r="H14" s="578"/>
      <c r="I14" s="479"/>
      <c r="J14" s="578"/>
      <c r="K14" s="479"/>
      <c r="L14" s="578"/>
      <c r="M14" s="204" t="s">
        <v>1620</v>
      </c>
      <c r="N14" s="635"/>
    </row>
    <row r="15" spans="1:14" s="1552" customFormat="1" ht="78.75" hidden="1" customHeight="1">
      <c r="A15" s="2202"/>
      <c r="B15" s="437"/>
      <c r="D15" s="865" t="s">
        <v>90</v>
      </c>
      <c r="E15" s="622" t="s">
        <v>1623</v>
      </c>
      <c r="F15" s="862" t="s">
        <v>297</v>
      </c>
      <c r="G15" s="862" t="s">
        <v>297</v>
      </c>
      <c r="H15" s="33"/>
      <c r="I15" s="862" t="s">
        <v>297</v>
      </c>
      <c r="J15" s="33"/>
      <c r="K15" s="1791" t="s">
        <v>297</v>
      </c>
      <c r="L15" s="1792"/>
      <c r="M15" s="204" t="s">
        <v>1813</v>
      </c>
      <c r="N15" s="635"/>
    </row>
    <row r="16" spans="1:14" s="1552" customFormat="1" ht="22.5" hidden="1" customHeight="1">
      <c r="A16" s="2202"/>
      <c r="B16" s="437"/>
      <c r="D16" s="865" t="s">
        <v>317</v>
      </c>
      <c r="E16" s="866" t="s">
        <v>1625</v>
      </c>
      <c r="F16" s="862" t="s">
        <v>1626</v>
      </c>
      <c r="G16" s="730"/>
      <c r="H16" s="33"/>
      <c r="I16" s="730"/>
      <c r="J16" s="33"/>
      <c r="K16" s="730"/>
      <c r="L16" s="1792"/>
      <c r="M16" s="204"/>
      <c r="N16" s="635"/>
    </row>
    <row r="17" spans="1:25" s="1552" customFormat="1" ht="22.5" hidden="1" customHeight="1">
      <c r="A17" s="2202"/>
      <c r="B17" s="437"/>
      <c r="D17" s="865" t="s">
        <v>325</v>
      </c>
      <c r="E17" s="866" t="s">
        <v>1627</v>
      </c>
      <c r="F17" s="862" t="s">
        <v>1628</v>
      </c>
      <c r="G17" s="730"/>
      <c r="H17" s="33"/>
      <c r="I17" s="730"/>
      <c r="J17" s="33"/>
      <c r="K17" s="730"/>
      <c r="L17" s="1792"/>
      <c r="M17" s="204"/>
      <c r="N17" s="635"/>
    </row>
    <row r="18" spans="1:25" s="1552" customFormat="1" ht="33.75" hidden="1" customHeight="1">
      <c r="A18" s="2202"/>
      <c r="B18" s="437"/>
      <c r="D18" s="865" t="s">
        <v>327</v>
      </c>
      <c r="E18" s="866" t="s">
        <v>1630</v>
      </c>
      <c r="F18" s="862" t="s">
        <v>1243</v>
      </c>
      <c r="G18" s="596"/>
      <c r="H18" s="33"/>
      <c r="I18" s="596"/>
      <c r="J18" s="33"/>
      <c r="K18" s="596"/>
      <c r="L18" s="1792"/>
      <c r="M18" s="204"/>
      <c r="N18" s="635"/>
    </row>
    <row r="19" spans="1:25" ht="101.25" hidden="1" customHeight="1">
      <c r="A19" s="2202"/>
      <c r="D19" s="865" t="s">
        <v>91</v>
      </c>
      <c r="E19" s="195" t="s">
        <v>1814</v>
      </c>
      <c r="F19" s="576" t="s">
        <v>428</v>
      </c>
      <c r="G19" s="579"/>
      <c r="H19" s="578"/>
      <c r="I19" s="867"/>
      <c r="J19" s="578"/>
      <c r="K19" s="1794"/>
      <c r="L19" s="578"/>
      <c r="M19" s="204" t="s">
        <v>1815</v>
      </c>
      <c r="N19" s="635"/>
    </row>
    <row r="20" spans="1:25" s="1552" customFormat="1" ht="18.75" hidden="1" customHeight="1">
      <c r="A20" s="2202"/>
      <c r="C20" s="868"/>
      <c r="D20" s="865" t="s">
        <v>1464</v>
      </c>
      <c r="E20" s="866" t="s">
        <v>1816</v>
      </c>
      <c r="F20" s="862" t="s">
        <v>297</v>
      </c>
      <c r="G20" s="862" t="s">
        <v>297</v>
      </c>
      <c r="H20" s="861" t="s">
        <v>297</v>
      </c>
      <c r="I20" s="862" t="s">
        <v>297</v>
      </c>
      <c r="J20" s="861" t="s">
        <v>297</v>
      </c>
      <c r="K20" s="1791" t="s">
        <v>297</v>
      </c>
      <c r="L20" s="1789" t="s">
        <v>297</v>
      </c>
      <c r="M20" s="860"/>
      <c r="N20" s="635"/>
      <c r="Y20" s="591"/>
    </row>
    <row r="21" spans="1:25" s="1552" customFormat="1" ht="33.75" hidden="1" customHeight="1">
      <c r="A21" s="2202"/>
      <c r="C21" s="868"/>
      <c r="D21" s="865" t="s">
        <v>1472</v>
      </c>
      <c r="E21" s="497" t="s">
        <v>1817</v>
      </c>
      <c r="F21" s="862" t="s">
        <v>1818</v>
      </c>
      <c r="G21" s="855"/>
      <c r="H21" s="33"/>
      <c r="I21" s="855"/>
      <c r="J21" s="33"/>
      <c r="K21" s="855"/>
      <c r="L21" s="1792"/>
      <c r="M21" s="860"/>
      <c r="N21" s="635"/>
      <c r="Y21" s="591"/>
    </row>
    <row r="22" spans="1:25" s="1552" customFormat="1" ht="33.75" hidden="1" customHeight="1">
      <c r="A22" s="2202"/>
      <c r="C22" s="868"/>
      <c r="D22" s="865" t="s">
        <v>1477</v>
      </c>
      <c r="E22" s="497" t="s">
        <v>1819</v>
      </c>
      <c r="F22" s="862" t="s">
        <v>1820</v>
      </c>
      <c r="G22" s="855"/>
      <c r="H22" s="33"/>
      <c r="I22" s="855"/>
      <c r="J22" s="33"/>
      <c r="K22" s="855"/>
      <c r="L22" s="1792"/>
      <c r="M22" s="860"/>
      <c r="N22" s="635"/>
      <c r="Y22" s="591"/>
    </row>
    <row r="23" spans="1:25" s="1552" customFormat="1" ht="22.5" hidden="1" customHeight="1">
      <c r="A23" s="2202"/>
      <c r="C23" s="868"/>
      <c r="D23" s="865" t="s">
        <v>1481</v>
      </c>
      <c r="E23" s="866" t="s">
        <v>1821</v>
      </c>
      <c r="F23" s="862" t="s">
        <v>297</v>
      </c>
      <c r="G23" s="862" t="s">
        <v>297</v>
      </c>
      <c r="H23" s="861" t="s">
        <v>297</v>
      </c>
      <c r="I23" s="862" t="s">
        <v>297</v>
      </c>
      <c r="J23" s="861" t="s">
        <v>297</v>
      </c>
      <c r="K23" s="1791" t="s">
        <v>297</v>
      </c>
      <c r="L23" s="1789" t="s">
        <v>297</v>
      </c>
      <c r="M23" s="860"/>
      <c r="N23" s="635"/>
      <c r="Y23" s="591"/>
    </row>
    <row r="24" spans="1:25" s="1552" customFormat="1" ht="22.5" hidden="1" customHeight="1">
      <c r="A24" s="2202"/>
      <c r="C24" s="868"/>
      <c r="D24" s="865" t="s">
        <v>1822</v>
      </c>
      <c r="E24" s="497" t="s">
        <v>1823</v>
      </c>
      <c r="F24" s="862" t="s">
        <v>1824</v>
      </c>
      <c r="G24" s="855"/>
      <c r="H24" s="602"/>
      <c r="I24" s="855"/>
      <c r="J24" s="602"/>
      <c r="K24" s="855"/>
      <c r="L24" s="1804"/>
      <c r="M24" s="860"/>
      <c r="N24" s="635"/>
      <c r="Y24" s="591"/>
    </row>
    <row r="25" spans="1:25" s="1552" customFormat="1" ht="22.5" hidden="1" customHeight="1">
      <c r="A25" s="2202"/>
      <c r="C25" s="868"/>
      <c r="D25" s="865" t="s">
        <v>1825</v>
      </c>
      <c r="E25" s="497" t="s">
        <v>1826</v>
      </c>
      <c r="F25" s="862" t="s">
        <v>297</v>
      </c>
      <c r="G25" s="862" t="s">
        <v>297</v>
      </c>
      <c r="H25" s="861" t="s">
        <v>297</v>
      </c>
      <c r="I25" s="862" t="s">
        <v>297</v>
      </c>
      <c r="J25" s="861" t="s">
        <v>297</v>
      </c>
      <c r="K25" s="1791" t="s">
        <v>297</v>
      </c>
      <c r="L25" s="1789" t="s">
        <v>297</v>
      </c>
      <c r="M25" s="860"/>
      <c r="N25" s="635"/>
      <c r="Y25" s="591"/>
    </row>
    <row r="26" spans="1:25" s="1552" customFormat="1" ht="18.75" hidden="1" customHeight="1">
      <c r="A26" s="2202"/>
      <c r="C26" s="868"/>
      <c r="D26" s="865" t="s">
        <v>1827</v>
      </c>
      <c r="E26" s="476" t="s">
        <v>1828</v>
      </c>
      <c r="F26" s="862" t="s">
        <v>1829</v>
      </c>
      <c r="G26" s="596"/>
      <c r="H26" s="602"/>
      <c r="I26" s="596"/>
      <c r="J26" s="602"/>
      <c r="K26" s="596"/>
      <c r="L26" s="1804"/>
      <c r="M26" s="860"/>
      <c r="N26" s="635"/>
      <c r="Y26" s="591"/>
    </row>
    <row r="27" spans="1:25" s="1552" customFormat="1" ht="18.75" hidden="1" customHeight="1">
      <c r="A27" s="2202"/>
      <c r="C27" s="868"/>
      <c r="D27" s="865" t="s">
        <v>1830</v>
      </c>
      <c r="E27" s="476" t="s">
        <v>1831</v>
      </c>
      <c r="F27" s="862" t="s">
        <v>1832</v>
      </c>
      <c r="G27" s="596"/>
      <c r="H27" s="602"/>
      <c r="I27" s="596"/>
      <c r="J27" s="602"/>
      <c r="K27" s="596"/>
      <c r="L27" s="1804"/>
      <c r="M27" s="860"/>
      <c r="N27" s="635"/>
      <c r="Y27" s="591"/>
    </row>
    <row r="28" spans="1:25" s="1552" customFormat="1" ht="18.75" hidden="1" customHeight="1">
      <c r="A28" s="2202"/>
      <c r="C28" s="868"/>
      <c r="D28" s="865" t="s">
        <v>1833</v>
      </c>
      <c r="E28" s="497" t="s">
        <v>1834</v>
      </c>
      <c r="F28" s="862" t="s">
        <v>297</v>
      </c>
      <c r="G28" s="862" t="s">
        <v>297</v>
      </c>
      <c r="H28" s="861" t="s">
        <v>297</v>
      </c>
      <c r="I28" s="862" t="s">
        <v>297</v>
      </c>
      <c r="J28" s="861" t="s">
        <v>297</v>
      </c>
      <c r="K28" s="1791" t="s">
        <v>297</v>
      </c>
      <c r="L28" s="1789" t="s">
        <v>297</v>
      </c>
      <c r="M28" s="860"/>
      <c r="N28" s="635"/>
      <c r="Y28" s="591"/>
    </row>
    <row r="29" spans="1:25" s="1552" customFormat="1" ht="18.75" hidden="1" customHeight="1">
      <c r="A29" s="2202"/>
      <c r="C29" s="868"/>
      <c r="D29" s="865" t="s">
        <v>1835</v>
      </c>
      <c r="E29" s="476" t="s">
        <v>1828</v>
      </c>
      <c r="F29" s="862" t="s">
        <v>1836</v>
      </c>
      <c r="G29" s="596"/>
      <c r="H29" s="602"/>
      <c r="I29" s="596"/>
      <c r="J29" s="602"/>
      <c r="K29" s="596"/>
      <c r="L29" s="1804"/>
      <c r="M29" s="860"/>
      <c r="N29" s="635"/>
      <c r="Y29" s="591"/>
    </row>
    <row r="30" spans="1:25" s="1552" customFormat="1" ht="18.75" hidden="1" customHeight="1">
      <c r="A30" s="2202"/>
      <c r="C30" s="868"/>
      <c r="D30" s="865" t="s">
        <v>1837</v>
      </c>
      <c r="E30" s="476" t="s">
        <v>1838</v>
      </c>
      <c r="F30" s="862" t="s">
        <v>1839</v>
      </c>
      <c r="G30" s="596"/>
      <c r="H30" s="602"/>
      <c r="I30" s="596"/>
      <c r="J30" s="602"/>
      <c r="K30" s="596"/>
      <c r="L30" s="1804"/>
      <c r="M30" s="860"/>
      <c r="N30" s="635"/>
      <c r="Y30" s="591"/>
    </row>
    <row r="31" spans="1:25" ht="126.75" hidden="1" customHeight="1">
      <c r="A31" s="2202"/>
      <c r="D31" s="865" t="s">
        <v>111</v>
      </c>
      <c r="E31" s="195" t="s">
        <v>1840</v>
      </c>
      <c r="F31" s="576" t="s">
        <v>1632</v>
      </c>
      <c r="G31" s="479"/>
      <c r="H31" s="578"/>
      <c r="I31" s="479"/>
      <c r="J31" s="578"/>
      <c r="K31" s="479"/>
      <c r="L31" s="578"/>
      <c r="M31" s="204" t="s">
        <v>1841</v>
      </c>
      <c r="N31" s="635"/>
    </row>
    <row r="32" spans="1:25" ht="56.25" hidden="1" customHeight="1">
      <c r="A32" s="2202"/>
      <c r="D32" s="865" t="s">
        <v>92</v>
      </c>
      <c r="E32" s="195" t="s">
        <v>1842</v>
      </c>
      <c r="F32" s="464" t="s">
        <v>1628</v>
      </c>
      <c r="G32" s="479"/>
      <c r="H32" s="578"/>
      <c r="I32" s="479"/>
      <c r="J32" s="578"/>
      <c r="K32" s="479"/>
      <c r="L32" s="578"/>
      <c r="M32" s="204" t="s">
        <v>1843</v>
      </c>
      <c r="N32" s="635"/>
    </row>
    <row r="33" spans="1:13" ht="11.25" hidden="1" customHeight="1">
      <c r="A33" s="2202"/>
      <c r="E33" s="580"/>
      <c r="F33" s="99"/>
      <c r="G33" s="99"/>
      <c r="H33" s="99"/>
      <c r="I33" s="99"/>
      <c r="J33" s="99"/>
      <c r="K33" s="972"/>
      <c r="L33" s="972"/>
      <c r="M33" s="99"/>
    </row>
    <row r="34" spans="1:13" ht="12.75" hidden="1" customHeight="1">
      <c r="A34" s="2202"/>
      <c r="D34" s="1">
        <v>1</v>
      </c>
      <c r="E34" s="257" t="s">
        <v>1844</v>
      </c>
    </row>
    <row r="35" spans="1:13" ht="11.25" hidden="1" customHeight="1">
      <c r="A35" s="2202"/>
      <c r="D35" s="293"/>
      <c r="E35" s="257" t="s">
        <v>1845</v>
      </c>
    </row>
    <row r="36" spans="1:13" s="1552" customFormat="1" ht="11.25" customHeight="1">
      <c r="A36" s="941"/>
      <c r="B36" s="444"/>
      <c r="D36" s="942"/>
      <c r="E36" s="943"/>
    </row>
    <row r="37" spans="1:13" s="1552" customFormat="1" ht="22.5" customHeight="1">
      <c r="A37" s="2202" t="s">
        <v>984</v>
      </c>
      <c r="B37" s="437"/>
      <c r="D37" s="865">
        <v>1</v>
      </c>
      <c r="E37" s="622" t="s">
        <v>1846</v>
      </c>
      <c r="F37" s="576" t="s">
        <v>1616</v>
      </c>
      <c r="G37" s="479"/>
      <c r="H37" s="445"/>
      <c r="I37" s="479"/>
      <c r="J37" s="445"/>
      <c r="K37" s="479"/>
      <c r="L37" s="445"/>
      <c r="M37" s="204" t="s">
        <v>1847</v>
      </c>
    </row>
    <row r="38" spans="1:13" s="1552" customFormat="1" ht="22.5" customHeight="1">
      <c r="A38" s="2202"/>
      <c r="B38" s="437"/>
      <c r="D38" s="585" t="s">
        <v>110</v>
      </c>
      <c r="E38" s="940" t="s">
        <v>1848</v>
      </c>
      <c r="F38" s="944" t="s">
        <v>428</v>
      </c>
      <c r="G38" s="944" t="s">
        <v>428</v>
      </c>
      <c r="H38" s="938"/>
      <c r="I38" s="944" t="s">
        <v>428</v>
      </c>
      <c r="J38" s="938"/>
      <c r="K38" s="944" t="s">
        <v>428</v>
      </c>
      <c r="L38" s="938"/>
      <c r="M38" s="939"/>
    </row>
    <row r="39" spans="1:13" s="1552" customFormat="1" ht="33.75" customHeight="1">
      <c r="A39" s="2202"/>
      <c r="B39" s="437"/>
      <c r="D39" s="581" t="s">
        <v>456</v>
      </c>
      <c r="E39" s="639" t="s">
        <v>1849</v>
      </c>
      <c r="F39" s="576" t="s">
        <v>1850</v>
      </c>
      <c r="G39" s="584"/>
      <c r="H39" s="931"/>
      <c r="I39" s="584"/>
      <c r="J39" s="931"/>
      <c r="K39" s="1071"/>
      <c r="L39" s="931"/>
      <c r="M39" s="204" t="s">
        <v>1851</v>
      </c>
    </row>
    <row r="40" spans="1:13" s="1552" customFormat="1" ht="33.75" customHeight="1">
      <c r="A40" s="2202"/>
      <c r="B40" s="437"/>
      <c r="D40" s="581" t="s">
        <v>1762</v>
      </c>
      <c r="E40" s="639" t="s">
        <v>1852</v>
      </c>
      <c r="F40" s="935" t="s">
        <v>1853</v>
      </c>
      <c r="G40" s="656"/>
      <c r="H40" s="931"/>
      <c r="I40" s="656"/>
      <c r="J40" s="931"/>
      <c r="K40" s="656"/>
      <c r="L40" s="931"/>
      <c r="M40" s="204" t="s">
        <v>1854</v>
      </c>
    </row>
    <row r="41" spans="1:13" s="1552" customFormat="1" ht="22.5" customHeight="1">
      <c r="A41" s="2202"/>
      <c r="B41" s="437"/>
      <c r="D41" s="581" t="s">
        <v>90</v>
      </c>
      <c r="E41" s="638" t="s">
        <v>1855</v>
      </c>
      <c r="F41" s="576" t="s">
        <v>428</v>
      </c>
      <c r="G41" s="576" t="s">
        <v>428</v>
      </c>
      <c r="H41" s="932"/>
      <c r="I41" s="576" t="s">
        <v>428</v>
      </c>
      <c r="J41" s="932"/>
      <c r="K41" s="1785" t="s">
        <v>428</v>
      </c>
      <c r="L41" s="932"/>
      <c r="M41" s="216"/>
    </row>
    <row r="42" spans="1:13" s="1552" customFormat="1" ht="45" customHeight="1">
      <c r="A42" s="2202"/>
      <c r="B42" s="437"/>
      <c r="D42" s="581" t="s">
        <v>317</v>
      </c>
      <c r="E42" s="639" t="s">
        <v>1856</v>
      </c>
      <c r="F42" s="576" t="s">
        <v>1632</v>
      </c>
      <c r="G42" s="479"/>
      <c r="H42" s="932"/>
      <c r="I42" s="479"/>
      <c r="J42" s="932"/>
      <c r="K42" s="479"/>
      <c r="L42" s="932"/>
      <c r="M42" s="216" t="s">
        <v>1857</v>
      </c>
    </row>
    <row r="43" spans="1:13" s="1552" customFormat="1" ht="45" customHeight="1">
      <c r="A43" s="2202"/>
      <c r="B43" s="437"/>
      <c r="D43" s="581" t="s">
        <v>325</v>
      </c>
      <c r="E43" s="583" t="s">
        <v>1858</v>
      </c>
      <c r="F43" s="936" t="s">
        <v>1632</v>
      </c>
      <c r="G43" s="657"/>
      <c r="H43" s="931"/>
      <c r="I43" s="657"/>
      <c r="J43" s="931"/>
      <c r="K43" s="657"/>
      <c r="L43" s="931"/>
      <c r="M43" s="216" t="s">
        <v>1859</v>
      </c>
    </row>
    <row r="44" spans="1:13" s="1552" customFormat="1" ht="11.25" customHeight="1">
      <c r="A44" s="2202"/>
      <c r="B44" s="437"/>
      <c r="D44" s="581" t="s">
        <v>91</v>
      </c>
      <c r="E44" s="582" t="s">
        <v>1860</v>
      </c>
      <c r="F44" s="576" t="s">
        <v>1850</v>
      </c>
      <c r="G44" s="584"/>
      <c r="H44" s="931"/>
      <c r="I44" s="584"/>
      <c r="J44" s="931"/>
      <c r="K44" s="1071"/>
      <c r="L44" s="931"/>
      <c r="M44" s="204"/>
    </row>
    <row r="45" spans="1:13" s="1552" customFormat="1" ht="11.25" customHeight="1">
      <c r="A45" s="2202"/>
      <c r="B45" s="437"/>
      <c r="D45" s="581" t="s">
        <v>1464</v>
      </c>
      <c r="E45" s="583" t="s">
        <v>1861</v>
      </c>
      <c r="F45" s="576" t="s">
        <v>1850</v>
      </c>
      <c r="G45" s="584"/>
      <c r="H45" s="931"/>
      <c r="I45" s="584"/>
      <c r="J45" s="931"/>
      <c r="K45" s="1071"/>
      <c r="L45" s="931"/>
      <c r="M45" s="204"/>
    </row>
    <row r="46" spans="1:13" s="1552" customFormat="1" ht="11.25" customHeight="1">
      <c r="A46" s="2202"/>
      <c r="B46" s="437"/>
      <c r="D46" s="581" t="s">
        <v>1481</v>
      </c>
      <c r="E46" s="583" t="s">
        <v>1862</v>
      </c>
      <c r="F46" s="576" t="s">
        <v>1850</v>
      </c>
      <c r="G46" s="584"/>
      <c r="H46" s="931"/>
      <c r="I46" s="584"/>
      <c r="J46" s="931"/>
      <c r="K46" s="1071"/>
      <c r="L46" s="931"/>
      <c r="M46" s="204"/>
    </row>
    <row r="47" spans="1:13" s="1552" customFormat="1" ht="11.25" customHeight="1">
      <c r="A47" s="2202"/>
      <c r="B47" s="437"/>
      <c r="D47" s="581" t="s">
        <v>1629</v>
      </c>
      <c r="E47" s="583" t="s">
        <v>1863</v>
      </c>
      <c r="F47" s="576" t="s">
        <v>1850</v>
      </c>
      <c r="G47" s="584"/>
      <c r="H47" s="931"/>
      <c r="I47" s="584"/>
      <c r="J47" s="931"/>
      <c r="K47" s="1071"/>
      <c r="L47" s="931"/>
      <c r="M47" s="204"/>
    </row>
    <row r="48" spans="1:13" s="1552" customFormat="1" ht="11.25" customHeight="1">
      <c r="A48" s="2202"/>
      <c r="B48" s="437"/>
      <c r="D48" s="581" t="s">
        <v>1864</v>
      </c>
      <c r="E48" s="587" t="s">
        <v>1865</v>
      </c>
      <c r="F48" s="576" t="s">
        <v>1850</v>
      </c>
      <c r="G48" s="584"/>
      <c r="H48" s="931"/>
      <c r="I48" s="584"/>
      <c r="J48" s="931"/>
      <c r="K48" s="1071"/>
      <c r="L48" s="931"/>
      <c r="M48" s="204"/>
    </row>
    <row r="49" spans="1:13" s="1552" customFormat="1" ht="11.25" customHeight="1">
      <c r="A49" s="2202"/>
      <c r="B49" s="437"/>
      <c r="D49" s="581" t="s">
        <v>1866</v>
      </c>
      <c r="E49" s="587" t="s">
        <v>1867</v>
      </c>
      <c r="F49" s="576" t="s">
        <v>1850</v>
      </c>
      <c r="G49" s="584"/>
      <c r="H49" s="931"/>
      <c r="I49" s="584"/>
      <c r="J49" s="931"/>
      <c r="K49" s="1071"/>
      <c r="L49" s="931"/>
      <c r="M49" s="204"/>
    </row>
    <row r="50" spans="1:13" s="1552" customFormat="1" ht="11.25" customHeight="1">
      <c r="A50" s="2202"/>
      <c r="B50" s="437"/>
      <c r="D50" s="581" t="s">
        <v>1868</v>
      </c>
      <c r="E50" s="583" t="s">
        <v>1869</v>
      </c>
      <c r="F50" s="576" t="s">
        <v>1850</v>
      </c>
      <c r="G50" s="584"/>
      <c r="H50" s="931"/>
      <c r="I50" s="584"/>
      <c r="J50" s="931"/>
      <c r="K50" s="1071"/>
      <c r="L50" s="931"/>
      <c r="M50" s="204"/>
    </row>
    <row r="51" spans="1:13" s="1552" customFormat="1" ht="11.25" customHeight="1">
      <c r="A51" s="2202"/>
      <c r="B51" s="437"/>
      <c r="D51" s="581" t="s">
        <v>1870</v>
      </c>
      <c r="E51" s="583" t="s">
        <v>1871</v>
      </c>
      <c r="F51" s="576" t="s">
        <v>1850</v>
      </c>
      <c r="G51" s="584"/>
      <c r="H51" s="931"/>
      <c r="I51" s="584"/>
      <c r="J51" s="931"/>
      <c r="K51" s="1071"/>
      <c r="L51" s="931"/>
      <c r="M51" s="204"/>
    </row>
    <row r="52" spans="1:13" s="1552" customFormat="1" ht="45" customHeight="1">
      <c r="A52" s="2202"/>
      <c r="B52" s="437"/>
      <c r="D52" s="581" t="s">
        <v>111</v>
      </c>
      <c r="E52" s="582" t="s">
        <v>1872</v>
      </c>
      <c r="F52" s="576" t="s">
        <v>1850</v>
      </c>
      <c r="G52" s="584"/>
      <c r="H52" s="931"/>
      <c r="I52" s="584"/>
      <c r="J52" s="931"/>
      <c r="K52" s="1071"/>
      <c r="L52" s="931"/>
      <c r="M52" s="204"/>
    </row>
    <row r="53" spans="1:13" s="1552" customFormat="1" ht="11.25" customHeight="1">
      <c r="A53" s="2202"/>
      <c r="B53" s="437"/>
      <c r="D53" s="581" t="s">
        <v>306</v>
      </c>
      <c r="E53" s="583" t="s">
        <v>1861</v>
      </c>
      <c r="F53" s="576" t="s">
        <v>1850</v>
      </c>
      <c r="G53" s="584"/>
      <c r="H53" s="931"/>
      <c r="I53" s="584"/>
      <c r="J53" s="931"/>
      <c r="K53" s="1071"/>
      <c r="L53" s="931"/>
      <c r="M53" s="204"/>
    </row>
    <row r="54" spans="1:13" s="1552" customFormat="1" ht="11.25" customHeight="1">
      <c r="A54" s="2202"/>
      <c r="B54" s="437"/>
      <c r="D54" s="581" t="s">
        <v>308</v>
      </c>
      <c r="E54" s="583" t="s">
        <v>1862</v>
      </c>
      <c r="F54" s="576" t="s">
        <v>1850</v>
      </c>
      <c r="G54" s="584"/>
      <c r="H54" s="931"/>
      <c r="I54" s="584"/>
      <c r="J54" s="931"/>
      <c r="K54" s="1071"/>
      <c r="L54" s="931"/>
      <c r="M54" s="204"/>
    </row>
    <row r="55" spans="1:13" s="1552" customFormat="1" ht="11.25" customHeight="1">
      <c r="A55" s="2202"/>
      <c r="B55" s="437"/>
      <c r="D55" s="581" t="s">
        <v>311</v>
      </c>
      <c r="E55" s="583" t="s">
        <v>1863</v>
      </c>
      <c r="F55" s="576" t="s">
        <v>1850</v>
      </c>
      <c r="G55" s="584"/>
      <c r="H55" s="931"/>
      <c r="I55" s="584"/>
      <c r="J55" s="931"/>
      <c r="K55" s="1071"/>
      <c r="L55" s="931"/>
      <c r="M55" s="204"/>
    </row>
    <row r="56" spans="1:13" s="1552" customFormat="1" ht="11.25" customHeight="1">
      <c r="A56" s="2202"/>
      <c r="B56" s="437"/>
      <c r="D56" s="581" t="s">
        <v>1609</v>
      </c>
      <c r="E56" s="587" t="s">
        <v>1865</v>
      </c>
      <c r="F56" s="576" t="s">
        <v>1850</v>
      </c>
      <c r="G56" s="584"/>
      <c r="H56" s="931"/>
      <c r="I56" s="584"/>
      <c r="J56" s="931"/>
      <c r="K56" s="1071"/>
      <c r="L56" s="931"/>
      <c r="M56" s="204"/>
    </row>
    <row r="57" spans="1:13" s="1552" customFormat="1" ht="11.25" customHeight="1">
      <c r="A57" s="2202"/>
      <c r="B57" s="437"/>
      <c r="D57" s="581" t="s">
        <v>1873</v>
      </c>
      <c r="E57" s="587" t="s">
        <v>1867</v>
      </c>
      <c r="F57" s="576" t="s">
        <v>1850</v>
      </c>
      <c r="G57" s="584"/>
      <c r="H57" s="931"/>
      <c r="I57" s="584"/>
      <c r="J57" s="931"/>
      <c r="K57" s="1071"/>
      <c r="L57" s="931"/>
      <c r="M57" s="204"/>
    </row>
    <row r="58" spans="1:13" s="1552" customFormat="1" ht="11.25" customHeight="1">
      <c r="A58" s="2202"/>
      <c r="B58" s="437"/>
      <c r="D58" s="581" t="s">
        <v>313</v>
      </c>
      <c r="E58" s="583" t="s">
        <v>1869</v>
      </c>
      <c r="F58" s="576" t="s">
        <v>1850</v>
      </c>
      <c r="G58" s="584"/>
      <c r="H58" s="931"/>
      <c r="I58" s="584"/>
      <c r="J58" s="931"/>
      <c r="K58" s="1071"/>
      <c r="L58" s="931"/>
      <c r="M58" s="204"/>
    </row>
    <row r="59" spans="1:13" s="1552" customFormat="1" ht="11.25" customHeight="1">
      <c r="A59" s="2202"/>
      <c r="B59" s="437"/>
      <c r="D59" s="581" t="s">
        <v>1874</v>
      </c>
      <c r="E59" s="583" t="s">
        <v>1871</v>
      </c>
      <c r="F59" s="576" t="s">
        <v>1850</v>
      </c>
      <c r="G59" s="584"/>
      <c r="H59" s="931"/>
      <c r="I59" s="584"/>
      <c r="J59" s="931"/>
      <c r="K59" s="1071"/>
      <c r="L59" s="931"/>
      <c r="M59" s="204"/>
    </row>
    <row r="60" spans="1:13" s="1552" customFormat="1" ht="33.75" customHeight="1">
      <c r="A60" s="2202"/>
      <c r="B60" s="437"/>
      <c r="D60" s="581" t="s">
        <v>92</v>
      </c>
      <c r="E60" s="582" t="s">
        <v>1875</v>
      </c>
      <c r="F60" s="637" t="s">
        <v>1632</v>
      </c>
      <c r="G60" s="657"/>
      <c r="H60" s="931"/>
      <c r="I60" s="657"/>
      <c r="J60" s="931"/>
      <c r="K60" s="657"/>
      <c r="L60" s="931"/>
      <c r="M60" s="216" t="s">
        <v>1876</v>
      </c>
    </row>
    <row r="61" spans="1:13" s="1552" customFormat="1" ht="33.75" customHeight="1">
      <c r="A61" s="2202"/>
      <c r="B61" s="437"/>
      <c r="D61" s="581" t="s">
        <v>93</v>
      </c>
      <c r="E61" s="582" t="s">
        <v>1877</v>
      </c>
      <c r="F61" s="642" t="s">
        <v>1628</v>
      </c>
      <c r="G61" s="584"/>
      <c r="H61" s="931"/>
      <c r="I61" s="584"/>
      <c r="J61" s="931"/>
      <c r="K61" s="1071"/>
      <c r="L61" s="931"/>
      <c r="M61" s="204"/>
    </row>
    <row r="62" spans="1:13" s="1552" customFormat="1" ht="22.5" customHeight="1">
      <c r="A62" s="2202"/>
      <c r="B62" s="437" t="s">
        <v>1738</v>
      </c>
      <c r="D62" s="581" t="s">
        <v>112</v>
      </c>
      <c r="E62" s="582" t="s">
        <v>1878</v>
      </c>
      <c r="F62" s="642" t="s">
        <v>297</v>
      </c>
      <c r="G62" s="311"/>
      <c r="H62" s="931"/>
      <c r="I62" s="311"/>
      <c r="J62" s="931"/>
      <c r="K62" s="1066"/>
      <c r="L62" s="931"/>
      <c r="M62" s="204" t="s">
        <v>1559</v>
      </c>
    </row>
    <row r="63" spans="1:13" s="1552" customFormat="1" ht="45" customHeight="1">
      <c r="A63" s="2202"/>
      <c r="B63" s="437" t="s">
        <v>1738</v>
      </c>
      <c r="D63" s="581" t="s">
        <v>1879</v>
      </c>
      <c r="E63" s="583" t="s">
        <v>1880</v>
      </c>
      <c r="F63" s="637" t="s">
        <v>297</v>
      </c>
      <c r="G63" s="311"/>
      <c r="H63" s="931"/>
      <c r="I63" s="311"/>
      <c r="J63" s="931"/>
      <c r="K63" s="1066"/>
      <c r="L63" s="931"/>
      <c r="M63" s="204" t="s">
        <v>1559</v>
      </c>
    </row>
    <row r="64" spans="1:13" s="1552" customFormat="1" ht="11.25" customHeight="1">
      <c r="A64" s="941"/>
      <c r="B64" s="444"/>
      <c r="D64" s="942"/>
      <c r="E64" s="943"/>
    </row>
    <row r="65" spans="1:13" s="1552" customFormat="1" ht="22.5" hidden="1" customHeight="1">
      <c r="A65" s="2202" t="s">
        <v>1007</v>
      </c>
      <c r="B65" s="437"/>
      <c r="D65" s="581">
        <v>1</v>
      </c>
      <c r="E65" s="659" t="s">
        <v>1881</v>
      </c>
      <c r="F65" s="655" t="s">
        <v>1616</v>
      </c>
      <c r="G65" s="656"/>
      <c r="H65" s="937"/>
      <c r="I65" s="656"/>
      <c r="J65" s="937"/>
      <c r="K65" s="656"/>
      <c r="L65" s="937"/>
      <c r="M65" s="215" t="s">
        <v>1882</v>
      </c>
    </row>
    <row r="66" spans="1:13" s="1552" customFormat="1" ht="56.25" hidden="1" customHeight="1">
      <c r="A66" s="2202"/>
      <c r="B66" s="437"/>
      <c r="D66" s="658" t="s">
        <v>110</v>
      </c>
      <c r="E66" s="622" t="s">
        <v>1883</v>
      </c>
      <c r="F66" s="576" t="s">
        <v>428</v>
      </c>
      <c r="G66" s="576" t="s">
        <v>428</v>
      </c>
      <c r="H66" s="445"/>
      <c r="I66" s="576" t="s">
        <v>428</v>
      </c>
      <c r="J66" s="445"/>
      <c r="K66" s="1785" t="s">
        <v>428</v>
      </c>
      <c r="L66" s="445"/>
      <c r="M66" s="204"/>
    </row>
    <row r="67" spans="1:13" s="1552" customFormat="1" ht="33.75" hidden="1" customHeight="1">
      <c r="A67" s="2202"/>
      <c r="B67" s="437"/>
      <c r="D67" s="658" t="s">
        <v>454</v>
      </c>
      <c r="E67" s="866" t="s">
        <v>1884</v>
      </c>
      <c r="F67" s="576" t="s">
        <v>1853</v>
      </c>
      <c r="G67" s="643"/>
      <c r="H67" s="445"/>
      <c r="I67" s="643"/>
      <c r="J67" s="445"/>
      <c r="K67" s="643"/>
      <c r="L67" s="445"/>
      <c r="M67" s="204"/>
    </row>
    <row r="68" spans="1:13" s="1552" customFormat="1" ht="22.5" hidden="1" customHeight="1">
      <c r="A68" s="2202"/>
      <c r="B68" s="437"/>
      <c r="D68" s="658" t="s">
        <v>298</v>
      </c>
      <c r="E68" s="866" t="s">
        <v>1885</v>
      </c>
      <c r="F68" s="576" t="s">
        <v>1853</v>
      </c>
      <c r="G68" s="643"/>
      <c r="H68" s="445"/>
      <c r="I68" s="643"/>
      <c r="J68" s="445"/>
      <c r="K68" s="643"/>
      <c r="L68" s="445"/>
      <c r="M68" s="204"/>
    </row>
    <row r="69" spans="1:13" s="1552" customFormat="1" ht="22.5" hidden="1" customHeight="1">
      <c r="A69" s="2202"/>
      <c r="B69" s="437"/>
      <c r="D69" s="658" t="s">
        <v>301</v>
      </c>
      <c r="E69" s="866" t="s">
        <v>1886</v>
      </c>
      <c r="F69" s="637" t="s">
        <v>1632</v>
      </c>
      <c r="G69" s="657"/>
      <c r="H69" s="445"/>
      <c r="I69" s="657"/>
      <c r="J69" s="445"/>
      <c r="K69" s="657"/>
      <c r="L69" s="445"/>
      <c r="M69" s="204"/>
    </row>
    <row r="70" spans="1:13" s="1552" customFormat="1" ht="22.5" hidden="1" customHeight="1">
      <c r="A70" s="2202"/>
      <c r="B70" s="437"/>
      <c r="D70" s="658" t="s">
        <v>1365</v>
      </c>
      <c r="E70" s="866" t="s">
        <v>1887</v>
      </c>
      <c r="F70" s="637" t="s">
        <v>1632</v>
      </c>
      <c r="G70" s="657"/>
      <c r="H70" s="445"/>
      <c r="I70" s="657"/>
      <c r="J70" s="445"/>
      <c r="K70" s="657"/>
      <c r="L70" s="445"/>
      <c r="M70" s="204"/>
    </row>
    <row r="71" spans="1:13" s="1552" customFormat="1" ht="22.5" hidden="1" customHeight="1">
      <c r="A71" s="2202"/>
      <c r="B71" s="437"/>
      <c r="D71" s="581" t="s">
        <v>90</v>
      </c>
      <c r="E71" s="582" t="s">
        <v>1888</v>
      </c>
      <c r="F71" s="576" t="s">
        <v>1853</v>
      </c>
      <c r="G71" s="479"/>
      <c r="H71" s="938"/>
      <c r="I71" s="479"/>
      <c r="J71" s="938"/>
      <c r="K71" s="479"/>
      <c r="L71" s="938"/>
      <c r="M71" s="216"/>
    </row>
    <row r="72" spans="1:13" s="1552" customFormat="1" ht="56.25" hidden="1" customHeight="1">
      <c r="A72" s="2202"/>
      <c r="B72" s="437"/>
      <c r="D72" s="581" t="s">
        <v>91</v>
      </c>
      <c r="E72" s="582" t="s">
        <v>1889</v>
      </c>
      <c r="F72" s="637" t="s">
        <v>1632</v>
      </c>
      <c r="G72" s="657"/>
      <c r="H72" s="931"/>
      <c r="I72" s="657"/>
      <c r="J72" s="931"/>
      <c r="K72" s="657"/>
      <c r="L72" s="931"/>
      <c r="M72" s="216"/>
    </row>
    <row r="73" spans="1:13" s="1552" customFormat="1" ht="33.75" hidden="1" customHeight="1">
      <c r="A73" s="2202"/>
      <c r="B73" s="437"/>
      <c r="D73" s="581" t="s">
        <v>111</v>
      </c>
      <c r="E73" s="582" t="s">
        <v>1890</v>
      </c>
      <c r="F73" s="642" t="s">
        <v>1628</v>
      </c>
      <c r="G73" s="584"/>
      <c r="H73" s="931"/>
      <c r="I73" s="584"/>
      <c r="J73" s="931"/>
      <c r="K73" s="1071"/>
      <c r="L73" s="931"/>
      <c r="M73" s="204"/>
    </row>
    <row r="74" spans="1:13" s="1552" customFormat="1" ht="22.5" hidden="1" customHeight="1">
      <c r="A74" s="2202"/>
      <c r="B74" s="437" t="s">
        <v>1738</v>
      </c>
      <c r="D74" s="581" t="s">
        <v>92</v>
      </c>
      <c r="E74" s="582" t="s">
        <v>1891</v>
      </c>
      <c r="F74" s="642" t="s">
        <v>297</v>
      </c>
      <c r="G74" s="311"/>
      <c r="H74" s="931"/>
      <c r="I74" s="311"/>
      <c r="J74" s="931"/>
      <c r="K74" s="1066"/>
      <c r="L74" s="931"/>
      <c r="M74" s="204" t="s">
        <v>1559</v>
      </c>
    </row>
    <row r="75" spans="1:13" s="1552" customFormat="1" ht="45" hidden="1" customHeight="1">
      <c r="A75" s="2202"/>
      <c r="B75" s="437" t="s">
        <v>1738</v>
      </c>
      <c r="D75" s="581" t="s">
        <v>1369</v>
      </c>
      <c r="E75" s="583" t="s">
        <v>1892</v>
      </c>
      <c r="F75" s="637" t="s">
        <v>297</v>
      </c>
      <c r="G75" s="311"/>
      <c r="H75" s="931"/>
      <c r="I75" s="311"/>
      <c r="J75" s="931"/>
      <c r="K75" s="1066"/>
      <c r="L75" s="931"/>
      <c r="M75" s="204" t="s">
        <v>1559</v>
      </c>
    </row>
    <row r="76" spans="1:13" s="1552" customFormat="1" ht="11.25" customHeight="1">
      <c r="A76" s="941"/>
      <c r="B76" s="444"/>
      <c r="D76" s="942"/>
      <c r="E76" s="943"/>
    </row>
    <row r="77" spans="1:13" s="1552" customFormat="1" ht="11.25" hidden="1" customHeight="1">
      <c r="A77" s="2202" t="s">
        <v>597</v>
      </c>
      <c r="B77" s="437"/>
      <c r="D77" s="581">
        <v>1</v>
      </c>
      <c r="E77" s="582" t="s">
        <v>1893</v>
      </c>
      <c r="F77" s="637" t="s">
        <v>1616</v>
      </c>
      <c r="G77" s="640"/>
      <c r="H77" s="931"/>
      <c r="I77" s="640"/>
      <c r="J77" s="931"/>
      <c r="K77" s="640"/>
      <c r="L77" s="931"/>
      <c r="M77" s="204" t="s">
        <v>1894</v>
      </c>
    </row>
    <row r="78" spans="1:13" s="1552" customFormat="1" ht="11.25" hidden="1" customHeight="1">
      <c r="A78" s="2202"/>
      <c r="B78" s="437"/>
      <c r="D78" s="581" t="s">
        <v>110</v>
      </c>
      <c r="E78" s="582" t="s">
        <v>1895</v>
      </c>
      <c r="F78" s="637" t="s">
        <v>1616</v>
      </c>
      <c r="G78" s="640"/>
      <c r="H78" s="931"/>
      <c r="I78" s="640"/>
      <c r="J78" s="931"/>
      <c r="K78" s="640"/>
      <c r="L78" s="931"/>
      <c r="M78" s="204" t="s">
        <v>1896</v>
      </c>
    </row>
    <row r="79" spans="1:13" s="1552" customFormat="1" ht="22.5" hidden="1" customHeight="1">
      <c r="A79" s="2202"/>
      <c r="B79" s="437"/>
      <c r="D79" s="581" t="s">
        <v>90</v>
      </c>
      <c r="E79" s="638" t="s">
        <v>1897</v>
      </c>
      <c r="F79" s="576" t="s">
        <v>1850</v>
      </c>
      <c r="G79" s="640"/>
      <c r="H79" s="931"/>
      <c r="I79" s="640"/>
      <c r="J79" s="931"/>
      <c r="K79" s="640"/>
      <c r="L79" s="931"/>
      <c r="M79" s="204" t="s">
        <v>1898</v>
      </c>
    </row>
    <row r="80" spans="1:13" s="1552" customFormat="1" ht="11.25" hidden="1" customHeight="1">
      <c r="A80" s="2202"/>
      <c r="B80" s="437"/>
      <c r="D80" s="581" t="s">
        <v>317</v>
      </c>
      <c r="E80" s="639" t="s">
        <v>1899</v>
      </c>
      <c r="F80" s="576" t="s">
        <v>1850</v>
      </c>
      <c r="G80" s="640"/>
      <c r="H80" s="931"/>
      <c r="I80" s="640"/>
      <c r="J80" s="931"/>
      <c r="K80" s="640"/>
      <c r="L80" s="931"/>
      <c r="M80" s="204"/>
    </row>
    <row r="81" spans="1:13" s="1552" customFormat="1" ht="11.25" hidden="1" customHeight="1">
      <c r="A81" s="2202"/>
      <c r="B81" s="437"/>
      <c r="D81" s="581" t="s">
        <v>325</v>
      </c>
      <c r="E81" s="639" t="s">
        <v>1900</v>
      </c>
      <c r="F81" s="576" t="s">
        <v>1850</v>
      </c>
      <c r="G81" s="640"/>
      <c r="H81" s="931"/>
      <c r="I81" s="640"/>
      <c r="J81" s="931"/>
      <c r="K81" s="640"/>
      <c r="L81" s="931"/>
      <c r="M81" s="204"/>
    </row>
    <row r="82" spans="1:13" s="1552" customFormat="1" ht="11.25" hidden="1" customHeight="1">
      <c r="A82" s="2202"/>
      <c r="B82" s="437"/>
      <c r="D82" s="581" t="s">
        <v>327</v>
      </c>
      <c r="E82" s="639" t="s">
        <v>1901</v>
      </c>
      <c r="F82" s="576" t="s">
        <v>1850</v>
      </c>
      <c r="G82" s="640"/>
      <c r="H82" s="931"/>
      <c r="I82" s="640"/>
      <c r="J82" s="931"/>
      <c r="K82" s="640"/>
      <c r="L82" s="931"/>
      <c r="M82" s="204"/>
    </row>
    <row r="83" spans="1:13" s="1552" customFormat="1" ht="11.25" hidden="1" customHeight="1">
      <c r="A83" s="2202"/>
      <c r="B83" s="437"/>
      <c r="D83" s="581" t="s">
        <v>329</v>
      </c>
      <c r="E83" s="639" t="s">
        <v>1902</v>
      </c>
      <c r="F83" s="576" t="s">
        <v>1850</v>
      </c>
      <c r="G83" s="640"/>
      <c r="H83" s="931"/>
      <c r="I83" s="640"/>
      <c r="J83" s="931"/>
      <c r="K83" s="640"/>
      <c r="L83" s="931"/>
      <c r="M83" s="204"/>
    </row>
    <row r="84" spans="1:13" s="1552" customFormat="1" ht="11.25" hidden="1" customHeight="1">
      <c r="A84" s="2202"/>
      <c r="B84" s="437"/>
      <c r="D84" s="581" t="s">
        <v>1903</v>
      </c>
      <c r="E84" s="639" t="s">
        <v>1904</v>
      </c>
      <c r="F84" s="576" t="s">
        <v>1850</v>
      </c>
      <c r="G84" s="640"/>
      <c r="H84" s="931"/>
      <c r="I84" s="640"/>
      <c r="J84" s="931"/>
      <c r="K84" s="640"/>
      <c r="L84" s="931"/>
      <c r="M84" s="204"/>
    </row>
    <row r="85" spans="1:13" s="1552" customFormat="1" ht="11.25" hidden="1" customHeight="1">
      <c r="A85" s="2202"/>
      <c r="B85" s="437"/>
      <c r="D85" s="581" t="s">
        <v>1905</v>
      </c>
      <c r="E85" s="639" t="s">
        <v>1906</v>
      </c>
      <c r="F85" s="576" t="s">
        <v>1850</v>
      </c>
      <c r="G85" s="640"/>
      <c r="H85" s="931"/>
      <c r="I85" s="640"/>
      <c r="J85" s="931"/>
      <c r="K85" s="640"/>
      <c r="L85" s="931"/>
      <c r="M85" s="204"/>
    </row>
    <row r="86" spans="1:13" s="1552" customFormat="1" ht="11.25" hidden="1" customHeight="1">
      <c r="A86" s="2202"/>
      <c r="B86" s="437"/>
      <c r="D86" s="581" t="s">
        <v>1907</v>
      </c>
      <c r="E86" s="639" t="s">
        <v>1908</v>
      </c>
      <c r="F86" s="576" t="s">
        <v>1850</v>
      </c>
      <c r="G86" s="640"/>
      <c r="H86" s="931"/>
      <c r="I86" s="640"/>
      <c r="J86" s="931"/>
      <c r="K86" s="640"/>
      <c r="L86" s="931"/>
      <c r="M86" s="204"/>
    </row>
    <row r="87" spans="1:13" s="1552" customFormat="1" ht="45" hidden="1" customHeight="1">
      <c r="A87" s="2202"/>
      <c r="B87" s="437"/>
      <c r="D87" s="581" t="s">
        <v>91</v>
      </c>
      <c r="E87" s="582" t="s">
        <v>1909</v>
      </c>
      <c r="F87" s="576" t="s">
        <v>1850</v>
      </c>
      <c r="G87" s="640"/>
      <c r="H87" s="931"/>
      <c r="I87" s="640"/>
      <c r="J87" s="931"/>
      <c r="K87" s="640"/>
      <c r="L87" s="931"/>
      <c r="M87" s="204" t="s">
        <v>1910</v>
      </c>
    </row>
    <row r="88" spans="1:13" s="1552" customFormat="1" ht="11.25" hidden="1" customHeight="1">
      <c r="A88" s="2202"/>
      <c r="B88" s="437"/>
      <c r="D88" s="581" t="s">
        <v>1464</v>
      </c>
      <c r="E88" s="639" t="s">
        <v>1899</v>
      </c>
      <c r="F88" s="576" t="s">
        <v>1850</v>
      </c>
      <c r="G88" s="640"/>
      <c r="H88" s="931"/>
      <c r="I88" s="640"/>
      <c r="J88" s="931"/>
      <c r="K88" s="640"/>
      <c r="L88" s="931"/>
      <c r="M88" s="204"/>
    </row>
    <row r="89" spans="1:13" s="1552" customFormat="1" ht="11.25" hidden="1" customHeight="1">
      <c r="A89" s="2202"/>
      <c r="B89" s="437"/>
      <c r="D89" s="581" t="s">
        <v>1481</v>
      </c>
      <c r="E89" s="639" t="s">
        <v>1900</v>
      </c>
      <c r="F89" s="576" t="s">
        <v>1850</v>
      </c>
      <c r="G89" s="640"/>
      <c r="H89" s="931"/>
      <c r="I89" s="640"/>
      <c r="J89" s="931"/>
      <c r="K89" s="640"/>
      <c r="L89" s="931"/>
      <c r="M89" s="204"/>
    </row>
    <row r="90" spans="1:13" s="1552" customFormat="1" ht="11.25" hidden="1" customHeight="1">
      <c r="A90" s="2202"/>
      <c r="B90" s="437"/>
      <c r="D90" s="581" t="s">
        <v>1629</v>
      </c>
      <c r="E90" s="639" t="s">
        <v>1901</v>
      </c>
      <c r="F90" s="576" t="s">
        <v>1850</v>
      </c>
      <c r="G90" s="640"/>
      <c r="H90" s="931"/>
      <c r="I90" s="640"/>
      <c r="J90" s="931"/>
      <c r="K90" s="640"/>
      <c r="L90" s="931"/>
      <c r="M90" s="204"/>
    </row>
    <row r="91" spans="1:13" s="1552" customFormat="1" ht="11.25" hidden="1" customHeight="1">
      <c r="A91" s="2202"/>
      <c r="B91" s="437"/>
      <c r="D91" s="581" t="s">
        <v>1868</v>
      </c>
      <c r="E91" s="639" t="s">
        <v>1902</v>
      </c>
      <c r="F91" s="576" t="s">
        <v>1850</v>
      </c>
      <c r="G91" s="640"/>
      <c r="H91" s="931"/>
      <c r="I91" s="640"/>
      <c r="J91" s="931"/>
      <c r="K91" s="640"/>
      <c r="L91" s="931"/>
      <c r="M91" s="204"/>
    </row>
    <row r="92" spans="1:13" s="1552" customFormat="1" ht="11.25" hidden="1" customHeight="1">
      <c r="A92" s="2202"/>
      <c r="B92" s="437"/>
      <c r="D92" s="581" t="s">
        <v>1870</v>
      </c>
      <c r="E92" s="639" t="s">
        <v>1904</v>
      </c>
      <c r="F92" s="576" t="s">
        <v>1850</v>
      </c>
      <c r="G92" s="640"/>
      <c r="H92" s="931"/>
      <c r="I92" s="640"/>
      <c r="J92" s="931"/>
      <c r="K92" s="640"/>
      <c r="L92" s="931"/>
      <c r="M92" s="204"/>
    </row>
    <row r="93" spans="1:13" s="1552" customFormat="1" ht="11.25" hidden="1" customHeight="1">
      <c r="A93" s="2202"/>
      <c r="B93" s="437"/>
      <c r="D93" s="581" t="s">
        <v>1911</v>
      </c>
      <c r="E93" s="639" t="s">
        <v>1906</v>
      </c>
      <c r="F93" s="576" t="s">
        <v>1850</v>
      </c>
      <c r="G93" s="640"/>
      <c r="H93" s="931"/>
      <c r="I93" s="640"/>
      <c r="J93" s="931"/>
      <c r="K93" s="640"/>
      <c r="L93" s="931"/>
      <c r="M93" s="204"/>
    </row>
    <row r="94" spans="1:13" s="1552" customFormat="1" ht="11.25" hidden="1" customHeight="1">
      <c r="A94" s="2202"/>
      <c r="B94" s="437"/>
      <c r="D94" s="581" t="s">
        <v>1912</v>
      </c>
      <c r="E94" s="639" t="s">
        <v>1908</v>
      </c>
      <c r="F94" s="576" t="s">
        <v>1850</v>
      </c>
      <c r="G94" s="640"/>
      <c r="H94" s="931"/>
      <c r="I94" s="640"/>
      <c r="J94" s="931"/>
      <c r="K94" s="640"/>
      <c r="L94" s="931"/>
      <c r="M94" s="204"/>
    </row>
    <row r="95" spans="1:13" s="1552" customFormat="1" ht="24.75" hidden="1" customHeight="1">
      <c r="A95" s="2202"/>
      <c r="B95" s="437"/>
      <c r="D95" s="581" t="s">
        <v>111</v>
      </c>
      <c r="E95" s="582" t="s">
        <v>1913</v>
      </c>
      <c r="F95" s="641" t="s">
        <v>1632</v>
      </c>
      <c r="G95" s="643"/>
      <c r="H95" s="931"/>
      <c r="I95" s="643"/>
      <c r="J95" s="931"/>
      <c r="K95" s="643"/>
      <c r="L95" s="931"/>
      <c r="M95" s="204" t="s">
        <v>1914</v>
      </c>
    </row>
    <row r="96" spans="1:13" s="1552" customFormat="1" ht="33.75" hidden="1" customHeight="1">
      <c r="A96" s="2202"/>
      <c r="B96" s="437"/>
      <c r="D96" s="581" t="s">
        <v>92</v>
      </c>
      <c r="E96" s="582" t="s">
        <v>1915</v>
      </c>
      <c r="F96" s="642" t="s">
        <v>1628</v>
      </c>
      <c r="G96" s="644"/>
      <c r="H96" s="931"/>
      <c r="I96" s="644"/>
      <c r="J96" s="931"/>
      <c r="K96" s="644"/>
      <c r="L96" s="931"/>
      <c r="M96" s="204"/>
    </row>
    <row r="97" spans="1:13" s="1552" customFormat="1" ht="22.5" hidden="1" customHeight="1">
      <c r="A97" s="2202"/>
      <c r="B97" s="437" t="s">
        <v>1738</v>
      </c>
      <c r="D97" s="581" t="s">
        <v>93</v>
      </c>
      <c r="E97" s="582" t="s">
        <v>1916</v>
      </c>
      <c r="F97" s="642" t="s">
        <v>297</v>
      </c>
      <c r="G97" s="314"/>
      <c r="H97" s="931"/>
      <c r="I97" s="314"/>
      <c r="J97" s="931"/>
      <c r="K97" s="314"/>
      <c r="L97" s="931"/>
      <c r="M97" s="204" t="s">
        <v>1559</v>
      </c>
    </row>
    <row r="98" spans="1:13" s="1552" customFormat="1" ht="45" hidden="1" customHeight="1">
      <c r="A98" s="2202"/>
      <c r="B98" s="437" t="s">
        <v>1738</v>
      </c>
      <c r="D98" s="581" t="s">
        <v>1917</v>
      </c>
      <c r="E98" s="583" t="s">
        <v>1918</v>
      </c>
      <c r="F98" s="637" t="s">
        <v>297</v>
      </c>
      <c r="G98" s="314"/>
      <c r="H98" s="931"/>
      <c r="I98" s="314"/>
      <c r="J98" s="931"/>
      <c r="K98" s="314"/>
      <c r="L98" s="931"/>
      <c r="M98" s="204" t="s">
        <v>1559</v>
      </c>
    </row>
    <row r="99" spans="1:13" s="1552" customFormat="1" ht="95.25" hidden="1" customHeight="1">
      <c r="A99" s="2202"/>
      <c r="B99" s="437" t="s">
        <v>1738</v>
      </c>
      <c r="D99" s="581" t="s">
        <v>112</v>
      </c>
      <c r="E99" s="582" t="s">
        <v>1919</v>
      </c>
      <c r="F99" s="637" t="s">
        <v>297</v>
      </c>
      <c r="G99" s="314"/>
      <c r="H99" s="931"/>
      <c r="I99" s="314"/>
      <c r="J99" s="931"/>
      <c r="K99" s="314"/>
      <c r="L99" s="931"/>
      <c r="M99" s="204" t="s">
        <v>1559</v>
      </c>
    </row>
    <row r="100" spans="1:13" s="1552" customFormat="1" ht="22.5" hidden="1" customHeight="1">
      <c r="A100" s="2202"/>
      <c r="B100" s="437" t="s">
        <v>1738</v>
      </c>
      <c r="D100" s="581" t="s">
        <v>153</v>
      </c>
      <c r="E100" s="582" t="s">
        <v>1920</v>
      </c>
      <c r="F100" s="637" t="s">
        <v>297</v>
      </c>
      <c r="G100" s="314"/>
      <c r="H100" s="931"/>
      <c r="I100" s="314"/>
      <c r="J100" s="931"/>
      <c r="K100" s="314"/>
      <c r="L100" s="931"/>
      <c r="M100" s="204" t="s">
        <v>1559</v>
      </c>
    </row>
    <row r="101" spans="1:13" s="1552" customFormat="1" ht="11.25" customHeight="1">
      <c r="A101" s="941"/>
      <c r="B101" s="444"/>
      <c r="D101" s="942"/>
      <c r="E101" s="943"/>
    </row>
  </sheetData>
  <sheetProtection formatColumns="0" formatRows="0" insertRows="0" deleteColumns="0" deleteRows="0" sort="0" autoFilter="0"/>
  <mergeCells count="21">
    <mergeCell ref="A37:A63"/>
    <mergeCell ref="A65:A75"/>
    <mergeCell ref="A77:A100"/>
    <mergeCell ref="A13:A35"/>
    <mergeCell ref="A11:B11"/>
    <mergeCell ref="D3:F3"/>
    <mergeCell ref="M7:M11"/>
    <mergeCell ref="G7:H7"/>
    <mergeCell ref="E7:F7"/>
    <mergeCell ref="E8:F8"/>
    <mergeCell ref="E9:F9"/>
    <mergeCell ref="G8:H8"/>
    <mergeCell ref="G9:H9"/>
    <mergeCell ref="D4:F4"/>
    <mergeCell ref="I7:J7"/>
    <mergeCell ref="I8:J8"/>
    <mergeCell ref="I9:J9"/>
    <mergeCell ref="D10:J10"/>
    <mergeCell ref="K7:L7"/>
    <mergeCell ref="K8:L8"/>
    <mergeCell ref="K9:L9"/>
  </mergeCells>
  <dataValidations count="6">
    <dataValidation type="textLength" operator="lessThanOrEqual" allowBlank="1" showInputMessage="1" showErrorMessage="1" errorTitle="Ошибка" error="Допускается ввод не более 900 символов!" sqref="H21:H22 H29:H30 H24 H26:H27 H15:H18 J26:J27 L26:L27 J15:J18 L15:L18 J21:J22 L21:L22 J29:J30 L29:L30 J24 L24">
      <formula1>900</formula1>
    </dataValidation>
    <dataValidation type="whole" allowBlank="1" showErrorMessage="1" errorTitle="Ошибка" error="Допускается ввод только неотрицательных целых чисел!" sqref="G16:G17 I16:I17 K16 K17">
      <formula1>0</formula1>
      <formula2>9.99999999999999E+23</formula2>
    </dataValidation>
    <dataValidation type="decimal" allowBlank="1" showErrorMessage="1" errorTitle="Ошибка" error="Допускается ввод только неотрицательных чисел!" sqref="G32 G67:G68 G39:G40 G37 G44:G59 G61 G77:G94 G73 G71 G96 G65 G18 G13:G14 G29:G30 G26:G27 I32 I67:I68 I39:I40 I37 I44:I59 I61 I77:I94 I73 I71 I96 I65 I18 I13:I14 I29:I30 I26:I27 K13 K14 K18 K26 K27 K29 K30 K32 K37 K39 K40 K44 K45 K46 K47 K48 K49 K50 K51 K52 K53 K54 K55 K56 K57 K58 K59 K61 K65 K67 K68 K71 K73 K77 K78 K79 K80 K81 K82 K83 K84 K85 K86 K87 K88 K89 K90 K91 K92 K93 K94 K96">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G74:G75 G62:G63 G97:G100 H19 H13:H14 H31:H32 I74:I75 I62:I63 I97:I100 J19 L19 J13:J14 L13:L14 J31:J32 L31:L32 K62 K63 K74 K75 K97 K98 K99 K100">
      <formula1>900</formula1>
    </dataValidation>
    <dataValidation type="decimal" allowBlank="1" showErrorMessage="1" errorTitle="Ошибка" error="Введите значение от 0 до 100%" sqref="G31 G95 G60 G72 G42:G43 G69:G70 I31 I95 I60 I72 I42:I43 I69:I70 K31 K42 K43 K60 K69 K70 K72 K95">
      <formula1>0</formula1>
      <formula2>100</formula2>
    </dataValidation>
    <dataValidation type="list" allowBlank="1" showInputMessage="1" errorTitle="Ошибка" error="Укажите значение вручную или выберите из списка!" prompt="Укажите значение вручную или выберите из списка" sqref="G19 I19 K19">
      <formula1>"Не утверждены"</formula1>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249977111117893"/>
  </sheetPr>
  <dimension ref="A1:AD15"/>
  <sheetViews>
    <sheetView showGridLines="0" topLeftCell="E4" zoomScale="85" workbookViewId="0"/>
  </sheetViews>
  <sheetFormatPr defaultColWidth="9.140625" defaultRowHeight="10.5" customHeight="1"/>
  <cols>
    <col min="1" max="3" width="6.7109375" style="1068" hidden="1" customWidth="1"/>
    <col min="4" max="4" width="6.7109375" style="1284" hidden="1" customWidth="1"/>
    <col min="5" max="5" width="3.7109375" style="1552" customWidth="1"/>
    <col min="6" max="6" width="6.28515625" style="1552" customWidth="1"/>
    <col min="7" max="7" width="37.7109375" style="1552" customWidth="1"/>
    <col min="8" max="8" width="16.5703125" style="1552" customWidth="1"/>
    <col min="9" max="10" width="19.7109375" style="1552" customWidth="1"/>
    <col min="11" max="11" width="25" style="1552" customWidth="1"/>
    <col min="12" max="13" width="25.7109375" style="1552" customWidth="1"/>
    <col min="14" max="16" width="17.7109375" style="1552" customWidth="1"/>
    <col min="17" max="24" width="19.7109375" style="1552" customWidth="1"/>
    <col min="25" max="25" width="8" style="1552" customWidth="1"/>
    <col min="26" max="26" width="3.28515625" style="1552" customWidth="1"/>
    <col min="27" max="27" width="6.28515625" style="1552" customWidth="1"/>
    <col min="28" max="28" width="34.140625" style="1552" customWidth="1"/>
    <col min="29" max="30" width="9.140625" style="1552"/>
  </cols>
  <sheetData>
    <row r="1" spans="1:30" s="1284" customFormat="1" ht="10.5" hidden="1" customHeight="1">
      <c r="A1" s="810"/>
      <c r="B1" s="810"/>
      <c r="C1" s="810"/>
      <c r="E1" s="462"/>
      <c r="H1" s="1062"/>
    </row>
    <row r="2" spans="1:30" ht="10.5" hidden="1" customHeight="1"/>
    <row r="3" spans="1:30" s="1549" customFormat="1" ht="10.5" hidden="1" customHeight="1">
      <c r="A3" s="810"/>
      <c r="B3" s="810"/>
      <c r="C3" s="810"/>
      <c r="D3" s="347"/>
      <c r="E3" s="285"/>
      <c r="H3" s="1058"/>
    </row>
    <row r="4" spans="1:30" ht="3" customHeight="1"/>
    <row r="5" spans="1:30" ht="30" customHeight="1">
      <c r="F5" s="2101" t="s">
        <v>1921</v>
      </c>
      <c r="G5" s="2101"/>
      <c r="H5" s="2101"/>
      <c r="I5" s="2101"/>
      <c r="J5" s="2101"/>
      <c r="K5" s="2101"/>
      <c r="M5" s="503"/>
      <c r="AB5" s="821"/>
    </row>
    <row r="6" spans="1:30" s="1552" customFormat="1" ht="15.75" customHeight="1">
      <c r="A6" s="1068"/>
      <c r="B6" s="1068"/>
      <c r="C6" s="1068"/>
      <c r="D6" s="1062"/>
      <c r="F6" s="1961" t="str">
        <f>IF(org=0,"Не определено",org)</f>
        <v>АО СЗ "КМАпроектжилстрой"</v>
      </c>
      <c r="G6" s="1961"/>
      <c r="H6" s="1961"/>
      <c r="I6" s="1961"/>
      <c r="J6" s="1961"/>
      <c r="K6" s="1961"/>
      <c r="M6" s="503"/>
      <c r="AB6" s="1050"/>
    </row>
    <row r="8" spans="1:30" ht="10.5" customHeight="1">
      <c r="A8" s="959"/>
      <c r="B8" s="959"/>
      <c r="C8" s="959"/>
      <c r="F8" s="1856" t="s">
        <v>291</v>
      </c>
      <c r="G8" s="1861"/>
      <c r="H8" s="1861"/>
      <c r="I8" s="1861"/>
      <c r="J8" s="1861"/>
      <c r="K8" s="1861"/>
      <c r="L8" s="1861"/>
      <c r="M8" s="1861"/>
      <c r="N8" s="1861"/>
      <c r="O8" s="1861"/>
      <c r="P8" s="1861"/>
      <c r="Q8" s="1861"/>
      <c r="R8" s="1861"/>
      <c r="S8" s="1861"/>
      <c r="T8" s="1861"/>
      <c r="U8" s="1861"/>
      <c r="V8" s="1861"/>
      <c r="W8" s="1861"/>
      <c r="X8" s="1861"/>
      <c r="Y8" s="1861"/>
      <c r="Z8" s="1861"/>
      <c r="AA8" s="1861"/>
      <c r="AB8" s="1855"/>
    </row>
    <row r="9" spans="1:30" ht="41.25" customHeight="1">
      <c r="A9" s="820"/>
      <c r="B9" s="820"/>
      <c r="C9" s="820"/>
      <c r="F9" s="1874" t="s">
        <v>88</v>
      </c>
      <c r="G9" s="1874" t="s">
        <v>1922</v>
      </c>
      <c r="H9" s="1928" t="s">
        <v>1923</v>
      </c>
      <c r="I9" s="1874" t="s">
        <v>1924</v>
      </c>
      <c r="J9" s="1874" t="s">
        <v>1925</v>
      </c>
      <c r="K9" s="1874" t="s">
        <v>1926</v>
      </c>
      <c r="L9" s="1874" t="s">
        <v>1927</v>
      </c>
      <c r="M9" s="1874" t="s">
        <v>1928</v>
      </c>
      <c r="N9" s="1959" t="s">
        <v>1929</v>
      </c>
      <c r="O9" s="1959"/>
      <c r="P9" s="1959"/>
      <c r="Q9" s="2089" t="s">
        <v>1930</v>
      </c>
      <c r="R9" s="2090"/>
      <c r="S9" s="2090"/>
      <c r="T9" s="2091"/>
      <c r="U9" s="2089" t="s">
        <v>1931</v>
      </c>
      <c r="V9" s="2090"/>
      <c r="W9" s="2090"/>
      <c r="X9" s="2091"/>
      <c r="Y9" s="1856" t="s">
        <v>1932</v>
      </c>
      <c r="Z9" s="1861"/>
      <c r="AA9" s="1861"/>
      <c r="AB9" s="1855"/>
    </row>
    <row r="10" spans="1:30" ht="41.25" customHeight="1">
      <c r="A10" s="820"/>
      <c r="B10" s="820"/>
      <c r="C10" s="820"/>
      <c r="F10" s="1928"/>
      <c r="G10" s="1928"/>
      <c r="H10" s="1984"/>
      <c r="I10" s="1928"/>
      <c r="J10" s="1928"/>
      <c r="K10" s="1928"/>
      <c r="L10" s="1928"/>
      <c r="M10" s="1928"/>
      <c r="N10" s="818" t="s">
        <v>1933</v>
      </c>
      <c r="O10" s="818" t="s">
        <v>1934</v>
      </c>
      <c r="P10" s="819" t="s">
        <v>1935</v>
      </c>
      <c r="Q10" s="830" t="s">
        <v>89</v>
      </c>
      <c r="R10" s="830" t="s">
        <v>1936</v>
      </c>
      <c r="S10" s="830" t="s">
        <v>1937</v>
      </c>
      <c r="T10" s="831" t="s">
        <v>1938</v>
      </c>
      <c r="U10" s="830" t="s">
        <v>89</v>
      </c>
      <c r="V10" s="830" t="s">
        <v>1939</v>
      </c>
      <c r="W10" s="830" t="s">
        <v>1937</v>
      </c>
      <c r="X10" s="831" t="s">
        <v>1938</v>
      </c>
      <c r="Y10" s="215" t="s">
        <v>1940</v>
      </c>
      <c r="Z10" s="1856" t="s">
        <v>88</v>
      </c>
      <c r="AA10" s="1855"/>
      <c r="AB10" s="957" t="s">
        <v>1941</v>
      </c>
    </row>
    <row r="11" spans="1:30" s="1559" customFormat="1" ht="5.25" hidden="1" customHeight="1">
      <c r="A11" s="960"/>
      <c r="B11" s="960"/>
      <c r="C11" s="960"/>
      <c r="E11" s="958"/>
      <c r="F11" s="2062" t="s">
        <v>369</v>
      </c>
      <c r="G11" s="2161"/>
      <c r="H11" s="2203"/>
      <c r="I11" s="2203"/>
      <c r="J11" s="2203"/>
      <c r="K11" s="2013"/>
      <c r="L11" s="2013"/>
      <c r="M11" s="2013"/>
      <c r="N11" s="2203"/>
      <c r="O11" s="2203"/>
      <c r="P11" s="1874"/>
      <c r="Q11" s="1938"/>
      <c r="R11" s="1938"/>
      <c r="S11" s="1938"/>
      <c r="T11" s="2203"/>
      <c r="U11" s="1938"/>
      <c r="V11" s="1938"/>
      <c r="W11" s="1938"/>
      <c r="X11" s="2203"/>
      <c r="Y11" s="1886"/>
      <c r="Z11" s="1886"/>
      <c r="AA11" s="1886"/>
      <c r="AB11" s="1886"/>
      <c r="AD11" s="437" t="s">
        <v>1942</v>
      </c>
    </row>
    <row r="12" spans="1:30" s="1559" customFormat="1" ht="5.25" hidden="1" customHeight="1">
      <c r="A12" s="811"/>
      <c r="B12" s="811"/>
      <c r="C12" s="811"/>
      <c r="E12" s="444"/>
      <c r="F12" s="2062"/>
      <c r="G12" s="2161"/>
      <c r="H12" s="2203"/>
      <c r="I12" s="2203"/>
      <c r="J12" s="2203"/>
      <c r="K12" s="2013"/>
      <c r="L12" s="2013"/>
      <c r="M12" s="2013"/>
      <c r="N12" s="2203"/>
      <c r="O12" s="2203"/>
      <c r="P12" s="1874"/>
      <c r="Q12" s="1938"/>
      <c r="R12" s="1938"/>
      <c r="S12" s="1938"/>
      <c r="T12" s="2203"/>
      <c r="U12" s="1938"/>
      <c r="V12" s="1938"/>
      <c r="W12" s="1938"/>
      <c r="X12" s="2203"/>
      <c r="Y12" s="2204"/>
      <c r="Z12" s="2204"/>
      <c r="AA12" s="2204"/>
      <c r="AB12" s="2204"/>
    </row>
    <row r="13" spans="1:30" ht="10.5" customHeight="1">
      <c r="F13" s="817"/>
      <c r="G13" s="566" t="s">
        <v>1943</v>
      </c>
      <c r="H13" s="1070"/>
      <c r="I13" s="493"/>
      <c r="J13" s="493"/>
      <c r="K13" s="493"/>
      <c r="L13" s="493"/>
      <c r="M13" s="493"/>
      <c r="N13" s="493"/>
      <c r="O13" s="493"/>
      <c r="P13" s="493"/>
      <c r="Q13" s="493"/>
      <c r="R13" s="493"/>
      <c r="S13" s="493"/>
      <c r="T13" s="493"/>
      <c r="U13" s="493"/>
      <c r="V13" s="493"/>
      <c r="W13" s="493"/>
      <c r="X13" s="493"/>
      <c r="Y13" s="493"/>
      <c r="Z13" s="612"/>
      <c r="AA13" s="612"/>
      <c r="AB13" s="832"/>
    </row>
    <row r="15" spans="1:30" s="1559" customFormat="1" ht="10.5" customHeight="1">
      <c r="A15" s="1069"/>
      <c r="B15" s="1069"/>
      <c r="C15" s="1069"/>
      <c r="E15" s="444"/>
      <c r="H15" s="437">
        <f>IFERROR(MATCH("нет",IP_MAIN_DIFFERENTIATION_EVENTS_FLAG,0),0)</f>
        <v>0</v>
      </c>
    </row>
  </sheetData>
  <sheetProtection formatColumns="0" formatRows="0" insertRows="0" deleteColumns="0" deleteRows="0" sort="0" autoFilter="0"/>
  <mergeCells count="39">
    <mergeCell ref="F6:K6"/>
    <mergeCell ref="F8:AB8"/>
    <mergeCell ref="U9:X9"/>
    <mergeCell ref="U11:U12"/>
    <mergeCell ref="V11:V12"/>
    <mergeCell ref="W11:W12"/>
    <mergeCell ref="X11:X12"/>
    <mergeCell ref="Q9:T9"/>
    <mergeCell ref="I11:I12"/>
    <mergeCell ref="G11:G12"/>
    <mergeCell ref="T11:T12"/>
    <mergeCell ref="S11:S12"/>
    <mergeCell ref="H9:H10"/>
    <mergeCell ref="H11:H12"/>
    <mergeCell ref="Q11:Q12"/>
    <mergeCell ref="R11:R12"/>
    <mergeCell ref="J9:J10"/>
    <mergeCell ref="K11:K12"/>
    <mergeCell ref="Z11:Z12"/>
    <mergeCell ref="Y9:AB9"/>
    <mergeCell ref="AB11:AB12"/>
    <mergeCell ref="Z10:AA10"/>
    <mergeCell ref="AA11:AA12"/>
    <mergeCell ref="F5:K5"/>
    <mergeCell ref="N11:N12"/>
    <mergeCell ref="O11:O12"/>
    <mergeCell ref="P11:P12"/>
    <mergeCell ref="Y11:Y12"/>
    <mergeCell ref="N9:P9"/>
    <mergeCell ref="M9:M10"/>
    <mergeCell ref="F9:F10"/>
    <mergeCell ref="G9:G10"/>
    <mergeCell ref="I9:I10"/>
    <mergeCell ref="K9:K10"/>
    <mergeCell ref="L9:L10"/>
    <mergeCell ref="F11:F12"/>
    <mergeCell ref="M11:M12"/>
    <mergeCell ref="L11:L12"/>
    <mergeCell ref="J11:J12"/>
  </mergeCell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249977111117893"/>
  </sheetPr>
  <dimension ref="A1:BF19"/>
  <sheetViews>
    <sheetView showGridLines="0" topLeftCell="E4" zoomScale="90" workbookViewId="0"/>
  </sheetViews>
  <sheetFormatPr defaultColWidth="9.140625" defaultRowHeight="10.5" customHeight="1"/>
  <cols>
    <col min="1" max="3" width="4.140625" style="1068" hidden="1" customWidth="1"/>
    <col min="4" max="4" width="4.140625" style="1284" hidden="1" customWidth="1"/>
    <col min="5" max="5" width="3.7109375" style="1552" customWidth="1"/>
    <col min="6" max="6" width="14.42578125" style="1552" customWidth="1"/>
    <col min="7" max="7" width="3.7109375" style="1552" customWidth="1"/>
    <col min="8" max="8" width="7.7109375" style="1552" customWidth="1"/>
    <col min="9" max="10" width="16.7109375" style="1552" customWidth="1"/>
    <col min="11" max="11" width="25.7109375" style="1552" customWidth="1"/>
    <col min="12" max="12" width="8" style="1552" customWidth="1"/>
    <col min="13" max="13" width="15.5703125" style="1552" customWidth="1"/>
    <col min="14" max="14" width="3.28515625" style="1552" customWidth="1"/>
    <col min="15" max="15" width="4.7109375" style="1552" customWidth="1"/>
    <col min="16" max="16" width="9" style="1552" customWidth="1"/>
    <col min="17" max="17" width="21.7109375" style="1552" customWidth="1"/>
    <col min="18" max="18" width="14.7109375" style="1552" customWidth="1"/>
    <col min="19" max="20" width="17.7109375" style="1552" customWidth="1"/>
    <col min="21" max="21" width="9.7109375" style="1552" customWidth="1"/>
    <col min="22" max="22" width="12.7109375" style="1552" customWidth="1"/>
    <col min="23" max="23" width="9.7109375" style="1552" customWidth="1"/>
    <col min="24" max="24" width="21.7109375" style="1552" customWidth="1"/>
    <col min="25" max="25" width="12.7109375" style="1552" customWidth="1"/>
    <col min="26" max="26" width="3.28515625" style="1552" customWidth="1"/>
    <col min="27" max="27" width="7.140625" style="1552" customWidth="1"/>
    <col min="28" max="28" width="38.42578125" style="1552" customWidth="1"/>
    <col min="29" max="29" width="15.7109375" style="1552" customWidth="1"/>
    <col min="30" max="30" width="37.5703125" style="1552" customWidth="1"/>
    <col min="31" max="31" width="15.7109375" style="1552" customWidth="1"/>
    <col min="32" max="37" width="16.7109375" style="1552" customWidth="1"/>
    <col min="38" max="58" width="9.140625" style="1552"/>
  </cols>
  <sheetData>
    <row r="1" spans="1:58" s="1284" customFormat="1" ht="10.5" hidden="1" customHeight="1">
      <c r="A1" s="810"/>
      <c r="B1" s="810"/>
      <c r="C1" s="810"/>
      <c r="E1" s="462"/>
      <c r="H1" s="1062"/>
      <c r="L1" s="1032"/>
      <c r="M1" s="1032"/>
      <c r="AD1" s="1032"/>
      <c r="AH1" s="1049"/>
      <c r="AI1" s="1043"/>
    </row>
    <row r="2" spans="1:58" ht="10.5" hidden="1" customHeight="1"/>
    <row r="3" spans="1:58" s="1549" customFormat="1" ht="10.5" hidden="1" customHeight="1">
      <c r="A3" s="810"/>
      <c r="B3" s="810"/>
      <c r="C3" s="810"/>
      <c r="D3" s="347"/>
      <c r="E3" s="285"/>
      <c r="H3" s="1058"/>
      <c r="L3" s="1030"/>
      <c r="M3" s="1030"/>
      <c r="AD3" s="1030"/>
      <c r="AH3" s="1047"/>
      <c r="AI3" s="1041"/>
    </row>
    <row r="4" spans="1:58" ht="3" customHeight="1"/>
    <row r="5" spans="1:58" ht="30" customHeight="1">
      <c r="F5" s="2101" t="s">
        <v>1921</v>
      </c>
      <c r="G5" s="2101"/>
      <c r="H5" s="2101"/>
      <c r="I5" s="2101"/>
      <c r="J5" s="2101"/>
      <c r="K5" s="2101"/>
      <c r="L5" s="1039"/>
      <c r="M5" s="1039"/>
      <c r="AG5" s="821"/>
      <c r="AH5" s="1050"/>
    </row>
    <row r="6" spans="1:58" ht="10.5" customHeight="1">
      <c r="F6" s="1961" t="str">
        <f>IF(org=0,"Не определено",org)</f>
        <v>АО СЗ "КМАпроектжилстрой"</v>
      </c>
      <c r="G6" s="1961"/>
      <c r="H6" s="1961"/>
      <c r="I6" s="1961"/>
      <c r="J6" s="1961"/>
      <c r="K6" s="1961"/>
      <c r="L6" s="1040"/>
      <c r="M6" s="1040"/>
    </row>
    <row r="7" spans="1:58" ht="11.25" customHeight="1">
      <c r="E7" s="823"/>
      <c r="F7" s="834"/>
      <c r="G7" s="834"/>
      <c r="H7" s="1088"/>
      <c r="I7" s="834"/>
      <c r="J7" s="834"/>
      <c r="K7" s="836"/>
      <c r="L7" s="1037"/>
      <c r="M7" s="1037"/>
      <c r="N7" s="834"/>
      <c r="O7" s="834"/>
      <c r="P7" s="834"/>
      <c r="Q7" s="836"/>
      <c r="R7" s="834"/>
      <c r="S7" s="834"/>
      <c r="T7" s="834"/>
      <c r="U7" s="834"/>
      <c r="V7" s="834"/>
      <c r="W7" s="834"/>
      <c r="X7" s="834"/>
      <c r="Y7" s="834"/>
      <c r="Z7" s="834"/>
      <c r="AA7" s="834"/>
      <c r="AB7" s="834"/>
      <c r="AC7" s="835"/>
      <c r="AD7" s="1036"/>
      <c r="AE7" s="835"/>
      <c r="AF7" s="834"/>
      <c r="AG7" s="834"/>
      <c r="AH7" s="1052"/>
      <c r="AI7" s="1046"/>
      <c r="AJ7" s="834"/>
      <c r="AK7" s="834"/>
      <c r="AL7" s="825"/>
      <c r="AM7" s="825"/>
      <c r="AN7" s="825"/>
      <c r="AO7" s="822"/>
      <c r="AP7" s="822"/>
      <c r="AQ7" s="822"/>
      <c r="AR7" s="822"/>
      <c r="AS7" s="822"/>
      <c r="AT7" s="822"/>
      <c r="AU7" s="822"/>
      <c r="AV7" s="822"/>
      <c r="AW7" s="822"/>
      <c r="AX7" s="822"/>
      <c r="AY7" s="822"/>
      <c r="AZ7" s="822"/>
      <c r="BA7" s="822"/>
      <c r="BB7" s="822"/>
      <c r="BC7" s="822"/>
      <c r="BD7" s="822"/>
      <c r="BE7" s="822"/>
      <c r="BF7" s="822"/>
    </row>
    <row r="8" spans="1:58" ht="10.5" customHeight="1">
      <c r="E8" s="823"/>
      <c r="F8" s="2208" t="s">
        <v>291</v>
      </c>
      <c r="G8" s="2209"/>
      <c r="H8" s="2209"/>
      <c r="I8" s="2209"/>
      <c r="J8" s="2209"/>
      <c r="K8" s="2209"/>
      <c r="L8" s="2209"/>
      <c r="M8" s="2209"/>
      <c r="N8" s="2209"/>
      <c r="O8" s="2209"/>
      <c r="P8" s="2209"/>
      <c r="Q8" s="2209"/>
      <c r="R8" s="2209"/>
      <c r="S8" s="2209"/>
      <c r="T8" s="2209"/>
      <c r="U8" s="2209"/>
      <c r="V8" s="2209"/>
      <c r="W8" s="2209"/>
      <c r="X8" s="2209"/>
      <c r="Y8" s="2209"/>
      <c r="Z8" s="2209"/>
      <c r="AA8" s="2209"/>
      <c r="AB8" s="2209"/>
      <c r="AC8" s="2209"/>
      <c r="AD8" s="2209"/>
      <c r="AE8" s="2209"/>
      <c r="AF8" s="2209"/>
      <c r="AG8" s="2209"/>
      <c r="AH8" s="2209"/>
      <c r="AI8" s="2209"/>
      <c r="AJ8" s="2209"/>
      <c r="AK8" s="2210"/>
      <c r="AL8" s="824"/>
      <c r="AM8" s="822"/>
      <c r="AN8" s="822"/>
      <c r="AO8" s="822"/>
      <c r="AP8" s="822"/>
      <c r="AQ8" s="822"/>
      <c r="AR8" s="822"/>
      <c r="AS8" s="822"/>
      <c r="AT8" s="822"/>
      <c r="AU8" s="822"/>
      <c r="AV8" s="822"/>
      <c r="AW8" s="822"/>
      <c r="AX8" s="822"/>
      <c r="AY8" s="822"/>
      <c r="AZ8" s="822"/>
      <c r="BA8" s="822"/>
      <c r="BB8" s="822"/>
      <c r="BC8" s="822"/>
      <c r="BD8" s="822"/>
      <c r="BE8" s="822"/>
      <c r="BF8" s="822"/>
    </row>
    <row r="9" spans="1:58" ht="23.25" customHeight="1">
      <c r="A9" s="820"/>
      <c r="B9" s="820"/>
      <c r="C9" s="820"/>
      <c r="E9" s="823"/>
      <c r="F9" s="1959" t="s">
        <v>1944</v>
      </c>
      <c r="G9" s="2131" t="s">
        <v>1945</v>
      </c>
      <c r="H9" s="2206"/>
      <c r="I9" s="1874" t="s">
        <v>1946</v>
      </c>
      <c r="J9" s="1874"/>
      <c r="K9" s="1874" t="s">
        <v>1947</v>
      </c>
      <c r="L9" s="1874"/>
      <c r="M9" s="1874"/>
      <c r="N9" s="1874"/>
      <c r="O9" s="1874"/>
      <c r="P9" s="1874"/>
      <c r="Q9" s="1874"/>
      <c r="R9" s="1874"/>
      <c r="S9" s="1874"/>
      <c r="T9" s="1874"/>
      <c r="U9" s="1874"/>
      <c r="V9" s="1874"/>
      <c r="W9" s="1874"/>
      <c r="X9" s="1874"/>
      <c r="Y9" s="1874"/>
      <c r="Z9" s="1929" t="s">
        <v>1948</v>
      </c>
      <c r="AA9" s="1930"/>
      <c r="AB9" s="1874" t="s">
        <v>1949</v>
      </c>
      <c r="AC9" s="1874"/>
      <c r="AD9" s="1874"/>
      <c r="AE9" s="1874"/>
      <c r="AF9" s="1928" t="s">
        <v>1950</v>
      </c>
      <c r="AG9" s="1874" t="s">
        <v>1951</v>
      </c>
      <c r="AH9" s="1874"/>
      <c r="AI9" s="1928" t="s">
        <v>1952</v>
      </c>
      <c r="AJ9" s="1874" t="s">
        <v>1953</v>
      </c>
      <c r="AK9" s="1874"/>
      <c r="AL9" s="1045"/>
      <c r="AM9" s="822"/>
      <c r="AN9" s="822"/>
      <c r="AO9" s="822"/>
      <c r="AP9" s="822"/>
      <c r="AQ9" s="822"/>
      <c r="AR9" s="822"/>
      <c r="AS9" s="822"/>
      <c r="AT9" s="822"/>
      <c r="AU9" s="822"/>
      <c r="AV9" s="822"/>
      <c r="AW9" s="822"/>
      <c r="AX9" s="822"/>
      <c r="AY9" s="822"/>
      <c r="AZ9" s="822"/>
      <c r="BA9" s="822"/>
      <c r="BB9" s="822"/>
      <c r="BC9" s="822"/>
      <c r="BD9" s="822"/>
      <c r="BE9" s="822"/>
      <c r="BF9" s="822"/>
    </row>
    <row r="10" spans="1:58" ht="23.25" customHeight="1">
      <c r="A10" s="820"/>
      <c r="B10" s="820"/>
      <c r="C10" s="820"/>
      <c r="E10" s="827"/>
      <c r="F10" s="1959"/>
      <c r="G10" s="2132"/>
      <c r="H10" s="1960"/>
      <c r="I10" s="1874"/>
      <c r="J10" s="1874"/>
      <c r="K10" s="1874" t="s">
        <v>1954</v>
      </c>
      <c r="L10" s="1856" t="s">
        <v>1955</v>
      </c>
      <c r="M10" s="1855"/>
      <c r="N10" s="1874" t="s">
        <v>1956</v>
      </c>
      <c r="O10" s="1874"/>
      <c r="P10" s="1874"/>
      <c r="Q10" s="1874"/>
      <c r="R10" s="1874"/>
      <c r="S10" s="1874"/>
      <c r="T10" s="1874"/>
      <c r="U10" s="1874"/>
      <c r="V10" s="1874"/>
      <c r="W10" s="1874"/>
      <c r="X10" s="1874"/>
      <c r="Y10" s="1874"/>
      <c r="Z10" s="1931"/>
      <c r="AA10" s="1932"/>
      <c r="AB10" s="1874"/>
      <c r="AC10" s="1874"/>
      <c r="AD10" s="1874"/>
      <c r="AE10" s="1874"/>
      <c r="AF10" s="1933"/>
      <c r="AG10" s="1874"/>
      <c r="AH10" s="1874"/>
      <c r="AI10" s="1933"/>
      <c r="AJ10" s="1874"/>
      <c r="AK10" s="1874"/>
      <c r="AL10" s="1045"/>
      <c r="AM10" s="828"/>
      <c r="AN10" s="828"/>
      <c r="AO10" s="828"/>
      <c r="AP10" s="828"/>
      <c r="AQ10" s="828"/>
      <c r="AR10" s="828"/>
      <c r="AS10" s="828"/>
      <c r="AT10" s="828"/>
      <c r="AU10" s="828"/>
      <c r="AV10" s="828"/>
      <c r="AW10" s="828"/>
      <c r="AX10" s="828"/>
      <c r="AY10" s="828"/>
      <c r="AZ10" s="828"/>
      <c r="BA10" s="828"/>
      <c r="BB10" s="828"/>
      <c r="BC10" s="828"/>
      <c r="BD10" s="828"/>
      <c r="BE10" s="828"/>
      <c r="BF10" s="828"/>
    </row>
    <row r="11" spans="1:58" s="1552" customFormat="1" ht="23.25" customHeight="1">
      <c r="A11" s="1033"/>
      <c r="B11" s="1033"/>
      <c r="C11" s="1033"/>
      <c r="D11" s="1032"/>
      <c r="E11" s="1034"/>
      <c r="F11" s="1959"/>
      <c r="G11" s="2132"/>
      <c r="H11" s="1960"/>
      <c r="I11" s="1874"/>
      <c r="J11" s="1874"/>
      <c r="K11" s="1874"/>
      <c r="L11" s="1928" t="s">
        <v>1957</v>
      </c>
      <c r="M11" s="1928" t="s">
        <v>1958</v>
      </c>
      <c r="N11" s="1874" t="s">
        <v>1959</v>
      </c>
      <c r="O11" s="1874"/>
      <c r="P11" s="1926" t="s">
        <v>1940</v>
      </c>
      <c r="Q11" s="1926" t="s">
        <v>1960</v>
      </c>
      <c r="R11" s="1926" t="s">
        <v>1961</v>
      </c>
      <c r="S11" s="1926" t="s">
        <v>1962</v>
      </c>
      <c r="T11" s="1926"/>
      <c r="U11" s="1926"/>
      <c r="V11" s="1926"/>
      <c r="W11" s="1926"/>
      <c r="X11" s="1926"/>
      <c r="Y11" s="1926"/>
      <c r="Z11" s="1931"/>
      <c r="AA11" s="1932"/>
      <c r="AB11" s="1874" t="s">
        <v>1963</v>
      </c>
      <c r="AC11" s="1874"/>
      <c r="AD11" s="1856" t="s">
        <v>1964</v>
      </c>
      <c r="AE11" s="1855"/>
      <c r="AF11" s="1933"/>
      <c r="AG11" s="1874"/>
      <c r="AH11" s="1874"/>
      <c r="AI11" s="1933"/>
      <c r="AJ11" s="1874"/>
      <c r="AK11" s="1874"/>
      <c r="AL11" s="1045"/>
      <c r="AM11" s="1031"/>
      <c r="AN11" s="1031"/>
      <c r="AO11" s="1031"/>
      <c r="AP11" s="1031"/>
      <c r="AQ11" s="1031"/>
      <c r="AR11" s="1031"/>
      <c r="AS11" s="1031"/>
      <c r="AT11" s="1031"/>
      <c r="AU11" s="1031"/>
      <c r="AV11" s="1031"/>
      <c r="AW11" s="1031"/>
      <c r="AX11" s="1031"/>
      <c r="AY11" s="1031"/>
      <c r="AZ11" s="1031"/>
      <c r="BA11" s="1031"/>
      <c r="BB11" s="1031"/>
      <c r="BC11" s="1031"/>
      <c r="BD11" s="1031"/>
      <c r="BE11" s="1031"/>
      <c r="BF11" s="1031"/>
    </row>
    <row r="12" spans="1:58" ht="33.75" customHeight="1">
      <c r="A12" s="820"/>
      <c r="B12" s="820"/>
      <c r="C12" s="820"/>
      <c r="E12" s="823"/>
      <c r="F12" s="1959"/>
      <c r="G12" s="2133"/>
      <c r="H12" s="2207"/>
      <c r="I12" s="1055" t="s">
        <v>89</v>
      </c>
      <c r="J12" s="1055" t="s">
        <v>1965</v>
      </c>
      <c r="K12" s="1874"/>
      <c r="L12" s="1984"/>
      <c r="M12" s="1984"/>
      <c r="N12" s="1874"/>
      <c r="O12" s="1874"/>
      <c r="P12" s="1926"/>
      <c r="Q12" s="1926"/>
      <c r="R12" s="1926"/>
      <c r="S12" s="1038" t="s">
        <v>86</v>
      </c>
      <c r="T12" s="1038" t="s">
        <v>87</v>
      </c>
      <c r="U12" s="1038" t="s">
        <v>85</v>
      </c>
      <c r="V12" s="1038" t="s">
        <v>1966</v>
      </c>
      <c r="W12" s="1038" t="s">
        <v>85</v>
      </c>
      <c r="X12" s="1038" t="s">
        <v>1967</v>
      </c>
      <c r="Y12" s="1038" t="s">
        <v>1968</v>
      </c>
      <c r="Z12" s="1934"/>
      <c r="AA12" s="1935"/>
      <c r="AB12" s="1044" t="s">
        <v>1969</v>
      </c>
      <c r="AC12" s="1044" t="s">
        <v>1970</v>
      </c>
      <c r="AD12" s="1044" t="s">
        <v>1969</v>
      </c>
      <c r="AE12" s="1044" t="s">
        <v>1970</v>
      </c>
      <c r="AF12" s="1984"/>
      <c r="AG12" s="1056" t="s">
        <v>1971</v>
      </c>
      <c r="AH12" s="1056" t="s">
        <v>1972</v>
      </c>
      <c r="AI12" s="1984"/>
      <c r="AJ12" s="1056" t="s">
        <v>1971</v>
      </c>
      <c r="AK12" s="1056" t="s">
        <v>1972</v>
      </c>
      <c r="AL12" s="1045"/>
      <c r="AM12" s="822"/>
      <c r="AN12" s="822"/>
      <c r="AO12" s="822"/>
      <c r="AP12" s="822"/>
      <c r="AQ12" s="822"/>
      <c r="AR12" s="822"/>
      <c r="AS12" s="822"/>
      <c r="AT12" s="822"/>
      <c r="AU12" s="822"/>
      <c r="AV12" s="822"/>
      <c r="AW12" s="822"/>
      <c r="AX12" s="822"/>
      <c r="AY12" s="822"/>
      <c r="AZ12" s="822"/>
      <c r="BA12" s="822"/>
      <c r="BB12" s="822"/>
      <c r="BC12" s="822"/>
      <c r="BD12" s="822"/>
      <c r="BE12" s="822"/>
      <c r="BF12" s="822"/>
    </row>
    <row r="13" spans="1:58" ht="0.75" customHeight="1">
      <c r="E13" s="823"/>
      <c r="F13" s="1029">
        <v>0</v>
      </c>
      <c r="G13" s="1029"/>
      <c r="H13" s="1029"/>
      <c r="I13" s="1029"/>
      <c r="J13" s="1029"/>
      <c r="K13" s="1035"/>
      <c r="L13" s="1035"/>
      <c r="M13" s="1035"/>
      <c r="N13" s="1035"/>
      <c r="O13" s="1035"/>
      <c r="P13" s="1035"/>
      <c r="Q13" s="1035"/>
      <c r="R13" s="1035"/>
      <c r="S13" s="1035"/>
      <c r="T13" s="1035"/>
      <c r="U13" s="1035"/>
      <c r="V13" s="1035"/>
      <c r="W13" s="1035"/>
      <c r="X13" s="1035"/>
      <c r="Y13" s="1035"/>
      <c r="Z13" s="1035"/>
      <c r="AA13" s="1035"/>
      <c r="AB13" s="1035"/>
      <c r="AC13" s="1035"/>
      <c r="AD13" s="1035"/>
      <c r="AE13" s="1035"/>
      <c r="AF13" s="1035"/>
      <c r="AG13" s="1035"/>
      <c r="AH13" s="1051"/>
      <c r="AI13" s="1045"/>
      <c r="AJ13" s="1035"/>
      <c r="AK13" s="1035"/>
      <c r="AL13" s="824"/>
      <c r="AM13" s="822"/>
      <c r="AN13" s="822"/>
      <c r="AO13" s="822"/>
      <c r="AP13" s="822"/>
      <c r="AQ13" s="822"/>
      <c r="AR13" s="822"/>
      <c r="AS13" s="822"/>
      <c r="AT13" s="822"/>
      <c r="AU13" s="822"/>
      <c r="AV13" s="822"/>
      <c r="AW13" s="822"/>
      <c r="AX13" s="822"/>
      <c r="AY13" s="822"/>
      <c r="AZ13" s="822"/>
      <c r="BA13" s="822"/>
      <c r="BB13" s="822"/>
      <c r="BC13" s="822"/>
      <c r="BD13" s="822"/>
      <c r="BE13" s="822"/>
      <c r="BF13" s="822"/>
    </row>
    <row r="14" spans="1:58" ht="10.5" customHeight="1">
      <c r="E14" s="822"/>
      <c r="F14" s="833"/>
      <c r="G14" s="833"/>
      <c r="H14" s="1075"/>
      <c r="I14" s="833"/>
      <c r="J14" s="833"/>
      <c r="K14" s="833"/>
      <c r="L14" s="1035"/>
      <c r="M14" s="1035"/>
      <c r="N14" s="833"/>
      <c r="O14" s="833"/>
      <c r="P14" s="833"/>
      <c r="Q14" s="833"/>
      <c r="R14" s="833"/>
      <c r="S14" s="833"/>
      <c r="T14" s="833"/>
      <c r="U14" s="833"/>
      <c r="V14" s="833"/>
      <c r="W14" s="833"/>
      <c r="X14" s="833"/>
      <c r="Y14" s="833"/>
      <c r="Z14" s="833"/>
      <c r="AA14" s="833"/>
      <c r="AB14" s="833"/>
      <c r="AC14" s="833"/>
      <c r="AD14" s="1035"/>
      <c r="AE14" s="833"/>
      <c r="AF14" s="833"/>
      <c r="AG14" s="833"/>
      <c r="AH14" s="1051"/>
      <c r="AI14" s="1045"/>
      <c r="AJ14" s="833"/>
      <c r="AK14" s="833"/>
      <c r="AL14" s="822"/>
      <c r="AM14" s="822"/>
      <c r="AN14" s="822"/>
      <c r="AO14" s="822"/>
      <c r="AP14" s="822"/>
      <c r="AQ14" s="822"/>
      <c r="AR14" s="822"/>
      <c r="AS14" s="822"/>
      <c r="AT14" s="822"/>
      <c r="AU14" s="822"/>
      <c r="AV14" s="822"/>
      <c r="AW14" s="822"/>
      <c r="AX14" s="822"/>
      <c r="AY14" s="822"/>
      <c r="AZ14" s="822"/>
      <c r="BA14" s="822"/>
      <c r="BB14" s="822"/>
      <c r="BC14" s="822"/>
      <c r="BD14" s="822"/>
      <c r="BE14" s="822"/>
      <c r="BF14" s="822"/>
    </row>
    <row r="15" spans="1:58" ht="12.75" customHeight="1">
      <c r="E15" s="822"/>
      <c r="F15" s="829" t="s">
        <v>1973</v>
      </c>
      <c r="G15" s="829"/>
      <c r="H15" s="1074"/>
      <c r="I15" s="829"/>
      <c r="J15" s="829"/>
      <c r="K15" s="826"/>
      <c r="L15" s="1031"/>
      <c r="M15" s="1031"/>
      <c r="N15" s="828"/>
      <c r="O15" s="828"/>
      <c r="P15" s="828"/>
      <c r="Q15" s="828"/>
      <c r="R15" s="828"/>
      <c r="S15" s="828"/>
      <c r="T15" s="828"/>
      <c r="U15" s="828"/>
      <c r="V15" s="828"/>
      <c r="W15" s="828"/>
      <c r="X15" s="828"/>
      <c r="Y15" s="828"/>
      <c r="Z15" s="826"/>
      <c r="AA15" s="826"/>
      <c r="AB15" s="826"/>
      <c r="AC15" s="826"/>
      <c r="AD15" s="1031"/>
      <c r="AE15" s="826"/>
      <c r="AF15" s="826"/>
      <c r="AG15" s="826"/>
      <c r="AH15" s="1048"/>
      <c r="AI15" s="1042"/>
      <c r="AJ15" s="826"/>
      <c r="AK15" s="826"/>
      <c r="AL15" s="822"/>
      <c r="AM15" s="822"/>
      <c r="AN15" s="822"/>
      <c r="AO15" s="822"/>
      <c r="AP15" s="822"/>
      <c r="AQ15" s="822"/>
      <c r="AR15" s="822"/>
      <c r="AS15" s="822"/>
      <c r="AT15" s="822"/>
      <c r="AU15" s="822"/>
      <c r="AV15" s="822"/>
      <c r="AW15" s="822"/>
      <c r="AX15" s="822"/>
      <c r="AY15" s="822"/>
      <c r="AZ15" s="822"/>
      <c r="BA15" s="822"/>
      <c r="BB15" s="822"/>
      <c r="BC15" s="822"/>
      <c r="BD15" s="822"/>
      <c r="BE15" s="822"/>
      <c r="BF15" s="822"/>
    </row>
    <row r="17" spans="5:58" ht="10.5" customHeight="1">
      <c r="E17" s="822"/>
      <c r="F17" s="2205"/>
      <c r="G17" s="2205"/>
      <c r="H17" s="2205"/>
      <c r="I17" s="2205"/>
      <c r="J17" s="2205"/>
      <c r="K17" s="826"/>
      <c r="L17" s="1031"/>
      <c r="M17" s="1031"/>
      <c r="N17" s="828"/>
      <c r="O17" s="828"/>
      <c r="P17" s="828"/>
      <c r="Q17" s="828"/>
      <c r="R17" s="828"/>
      <c r="S17" s="828"/>
      <c r="T17" s="828"/>
      <c r="U17" s="828"/>
      <c r="V17" s="828"/>
      <c r="W17" s="828"/>
      <c r="X17" s="828"/>
      <c r="Y17" s="828"/>
      <c r="Z17" s="826"/>
      <c r="AA17" s="826"/>
      <c r="AB17" s="826"/>
      <c r="AC17" s="826"/>
      <c r="AD17" s="1031"/>
      <c r="AE17" s="826"/>
      <c r="AF17" s="826"/>
      <c r="AG17" s="826"/>
      <c r="AH17" s="1048"/>
      <c r="AI17" s="1042"/>
      <c r="AJ17" s="826"/>
      <c r="AK17" s="826"/>
      <c r="AL17" s="822"/>
      <c r="AM17" s="822"/>
      <c r="AN17" s="822"/>
      <c r="AO17" s="822"/>
      <c r="AP17" s="822"/>
      <c r="AQ17" s="822"/>
      <c r="AR17" s="822"/>
      <c r="AS17" s="822"/>
      <c r="AT17" s="822"/>
      <c r="AU17" s="822"/>
      <c r="AV17" s="822"/>
      <c r="AW17" s="822"/>
      <c r="AX17" s="822"/>
      <c r="AY17" s="822"/>
      <c r="AZ17" s="822"/>
      <c r="BA17" s="822"/>
      <c r="BB17" s="822"/>
      <c r="BC17" s="822"/>
      <c r="BD17" s="822"/>
      <c r="BE17" s="822"/>
      <c r="BF17" s="822"/>
    </row>
    <row r="18" spans="5:58" ht="10.5" customHeight="1">
      <c r="E18" s="822"/>
      <c r="F18" s="2205"/>
      <c r="G18" s="2205"/>
      <c r="H18" s="2205"/>
      <c r="I18" s="2205"/>
      <c r="J18" s="2205"/>
      <c r="K18" s="826"/>
      <c r="L18" s="1031"/>
      <c r="M18" s="1031"/>
      <c r="N18" s="828"/>
      <c r="O18" s="828"/>
      <c r="P18" s="828"/>
      <c r="Q18" s="828"/>
      <c r="R18" s="828"/>
      <c r="S18" s="828"/>
      <c r="T18" s="828"/>
      <c r="U18" s="828"/>
      <c r="V18" s="828"/>
      <c r="W18" s="828"/>
      <c r="X18" s="828"/>
      <c r="Y18" s="828"/>
      <c r="Z18" s="826"/>
      <c r="AA18" s="826"/>
      <c r="AB18" s="826"/>
      <c r="AC18" s="826"/>
      <c r="AD18" s="1031"/>
      <c r="AE18" s="826"/>
      <c r="AF18" s="826"/>
      <c r="AG18" s="826"/>
      <c r="AH18" s="1048"/>
      <c r="AI18" s="1042"/>
      <c r="AJ18" s="826"/>
      <c r="AK18" s="826"/>
      <c r="AL18" s="822"/>
      <c r="AM18" s="822"/>
      <c r="AN18" s="822"/>
      <c r="AO18" s="822"/>
      <c r="AP18" s="822"/>
      <c r="AQ18" s="822"/>
      <c r="AR18" s="822"/>
      <c r="AS18" s="822"/>
      <c r="AT18" s="822"/>
      <c r="AU18" s="822"/>
      <c r="AV18" s="822"/>
      <c r="AW18" s="822"/>
      <c r="AX18" s="822"/>
      <c r="AY18" s="822"/>
      <c r="AZ18" s="822"/>
      <c r="BA18" s="822"/>
      <c r="BB18" s="822"/>
      <c r="BC18" s="822"/>
      <c r="BD18" s="822"/>
      <c r="BE18" s="822"/>
      <c r="BF18" s="822"/>
    </row>
    <row r="19" spans="5:58" ht="10.5" customHeight="1">
      <c r="E19" s="822"/>
      <c r="F19" s="2205"/>
      <c r="G19" s="2205"/>
      <c r="H19" s="2205"/>
      <c r="I19" s="2205"/>
      <c r="J19" s="2205"/>
      <c r="K19" s="826"/>
      <c r="L19" s="1031"/>
      <c r="M19" s="1031"/>
      <c r="N19" s="828"/>
      <c r="O19" s="828"/>
      <c r="P19" s="828"/>
      <c r="Q19" s="828"/>
      <c r="R19" s="828"/>
      <c r="S19" s="828"/>
      <c r="T19" s="828"/>
      <c r="U19" s="828"/>
      <c r="V19" s="828"/>
      <c r="W19" s="828"/>
      <c r="X19" s="828"/>
      <c r="Y19" s="828"/>
      <c r="Z19" s="826"/>
      <c r="AA19" s="826"/>
      <c r="AB19" s="826"/>
      <c r="AC19" s="826"/>
      <c r="AD19" s="1031"/>
      <c r="AE19" s="826"/>
      <c r="AF19" s="826"/>
      <c r="AG19" s="826"/>
      <c r="AH19" s="1048"/>
      <c r="AI19" s="1042"/>
      <c r="AJ19" s="826"/>
      <c r="AK19" s="826"/>
      <c r="AL19" s="822"/>
      <c r="AM19" s="822"/>
      <c r="AN19" s="822"/>
      <c r="AO19" s="822"/>
      <c r="AP19" s="822"/>
      <c r="AQ19" s="822"/>
      <c r="AR19" s="822"/>
      <c r="AS19" s="822"/>
      <c r="AT19" s="822"/>
      <c r="AU19" s="822"/>
      <c r="AV19" s="822"/>
      <c r="AW19" s="822"/>
      <c r="AX19" s="822"/>
      <c r="AY19" s="822"/>
      <c r="AZ19" s="822"/>
      <c r="BA19" s="822"/>
      <c r="BB19" s="822"/>
      <c r="BC19" s="822"/>
      <c r="BD19" s="822"/>
      <c r="BE19" s="822"/>
      <c r="BF19" s="822"/>
    </row>
  </sheetData>
  <sheetProtection formatColumns="0" formatRows="0" insertRows="0" deleteColumns="0" deleteRows="0" sort="0" autoFilter="0"/>
  <mergeCells count="28">
    <mergeCell ref="I9:J11"/>
    <mergeCell ref="K10:K12"/>
    <mergeCell ref="F18:J18"/>
    <mergeCell ref="F17:J17"/>
    <mergeCell ref="F5:K5"/>
    <mergeCell ref="F19:J19"/>
    <mergeCell ref="F9:F12"/>
    <mergeCell ref="G9:H12"/>
    <mergeCell ref="F6:K6"/>
    <mergeCell ref="F8:AK8"/>
    <mergeCell ref="R11:R12"/>
    <mergeCell ref="L10:M10"/>
    <mergeCell ref="Z9:AA12"/>
    <mergeCell ref="M11:M12"/>
    <mergeCell ref="L11:L12"/>
    <mergeCell ref="AB11:AC11"/>
    <mergeCell ref="AD11:AE11"/>
    <mergeCell ref="AI9:AI12"/>
    <mergeCell ref="AG9:AH11"/>
    <mergeCell ref="AJ9:AK11"/>
    <mergeCell ref="AF9:AF12"/>
    <mergeCell ref="AB9:AE10"/>
    <mergeCell ref="S11:Y11"/>
    <mergeCell ref="N10:Y10"/>
    <mergeCell ref="K9:Y9"/>
    <mergeCell ref="N11:O12"/>
    <mergeCell ref="P11:P12"/>
    <mergeCell ref="Q11:Q12"/>
  </mergeCell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249977111117893"/>
  </sheetPr>
  <dimension ref="A1:V58"/>
  <sheetViews>
    <sheetView showGridLines="0" topLeftCell="E4" zoomScale="85" workbookViewId="0"/>
  </sheetViews>
  <sheetFormatPr defaultColWidth="9.140625" defaultRowHeight="10.5" customHeight="1"/>
  <cols>
    <col min="1" max="3" width="4.140625" style="1068" hidden="1" customWidth="1"/>
    <col min="4" max="4" width="4.140625" style="1284" hidden="1" customWidth="1"/>
    <col min="5" max="5" width="3.7109375" style="1552" customWidth="1"/>
    <col min="6" max="6" width="6.28515625" style="1552" customWidth="1"/>
    <col min="7" max="7" width="60.140625" style="1552" customWidth="1"/>
    <col min="8" max="9" width="21.7109375" style="1552" hidden="1" customWidth="1"/>
    <col min="10" max="10" width="0.140625" style="1552" customWidth="1"/>
    <col min="11" max="11" width="1.7109375" style="1552" customWidth="1"/>
    <col min="12" max="22" width="9.140625" style="1552"/>
  </cols>
  <sheetData>
    <row r="1" spans="1:22" s="1284" customFormat="1" ht="10.5" hidden="1" customHeight="1">
      <c r="A1" s="1068"/>
      <c r="B1" s="1068"/>
      <c r="C1" s="1068"/>
      <c r="E1" s="462"/>
    </row>
    <row r="2" spans="1:22" ht="10.5" hidden="1" customHeight="1"/>
    <row r="3" spans="1:22" s="1549" customFormat="1" ht="10.5" hidden="1" customHeight="1">
      <c r="A3" s="1068"/>
      <c r="B3" s="1068"/>
      <c r="C3" s="1068"/>
      <c r="D3" s="1062"/>
      <c r="E3" s="285"/>
    </row>
    <row r="4" spans="1:22" ht="3" customHeight="1"/>
    <row r="5" spans="1:22" ht="30" customHeight="1">
      <c r="F5" s="2101" t="s">
        <v>1974</v>
      </c>
      <c r="G5" s="2101"/>
      <c r="H5" s="2101"/>
      <c r="I5" s="2101"/>
      <c r="J5" s="2101"/>
    </row>
    <row r="6" spans="1:22" ht="10.5" customHeight="1">
      <c r="F6" s="1961" t="str">
        <f>IF(org=0,"Не определено",org)</f>
        <v>АО СЗ "КМАпроектжилстрой"</v>
      </c>
      <c r="G6" s="1961"/>
      <c r="H6" s="1961"/>
      <c r="I6" s="1961"/>
      <c r="J6" s="1961"/>
    </row>
    <row r="7" spans="1:22" ht="11.25" customHeight="1">
      <c r="E7" s="1072"/>
      <c r="F7" s="1138"/>
      <c r="G7" s="1138"/>
      <c r="H7" s="1138"/>
      <c r="I7" s="1138"/>
      <c r="J7" s="1138"/>
      <c r="K7" s="1059"/>
      <c r="L7" s="1059"/>
      <c r="M7" s="1059"/>
      <c r="N7" s="1059"/>
      <c r="O7" s="1059"/>
      <c r="P7" s="1059"/>
      <c r="Q7" s="1059"/>
      <c r="R7" s="1059"/>
      <c r="S7" s="1059"/>
      <c r="T7" s="1059"/>
      <c r="U7" s="1059"/>
      <c r="V7" s="1059"/>
    </row>
    <row r="8" spans="1:22" s="1559" customFormat="1" ht="5.25" customHeight="1">
      <c r="A8" s="1069"/>
      <c r="B8" s="1069"/>
      <c r="C8" s="1069"/>
      <c r="E8" s="1139"/>
      <c r="F8" s="1140"/>
      <c r="G8" s="1140"/>
      <c r="H8" s="1140"/>
      <c r="I8" s="1140"/>
      <c r="J8" s="1140"/>
      <c r="K8" s="1139"/>
      <c r="L8" s="1139"/>
      <c r="M8" s="1139"/>
      <c r="N8" s="1139"/>
      <c r="O8" s="1139"/>
      <c r="P8" s="1139"/>
      <c r="Q8" s="1139"/>
      <c r="R8" s="1139"/>
      <c r="S8" s="1139"/>
      <c r="T8" s="1139"/>
      <c r="U8" s="1139"/>
      <c r="V8" s="1139"/>
    </row>
    <row r="9" spans="1:22" ht="10.5" customHeight="1">
      <c r="E9" s="1072"/>
      <c r="F9" s="2211" t="s">
        <v>291</v>
      </c>
      <c r="G9" s="2212"/>
      <c r="H9" s="2212"/>
      <c r="I9" s="2212"/>
      <c r="J9" s="2212"/>
      <c r="K9" s="1151"/>
      <c r="L9" s="1059"/>
      <c r="M9" s="1059"/>
      <c r="N9" s="1059"/>
      <c r="O9" s="1059"/>
      <c r="P9" s="1059"/>
      <c r="Q9" s="1059"/>
      <c r="R9" s="1059"/>
      <c r="S9" s="1059"/>
      <c r="T9" s="1059"/>
      <c r="U9" s="1059"/>
      <c r="V9" s="1059"/>
    </row>
    <row r="10" spans="1:22" ht="24" customHeight="1">
      <c r="E10" s="1059"/>
      <c r="F10" s="2215" t="s">
        <v>88</v>
      </c>
      <c r="G10" s="2219" t="s">
        <v>1975</v>
      </c>
      <c r="H10" s="2203" t="s">
        <v>1976</v>
      </c>
      <c r="I10" s="2203"/>
      <c r="J10" s="2203"/>
      <c r="K10" s="1144"/>
      <c r="L10" s="1059"/>
      <c r="M10" s="1059"/>
      <c r="N10" s="1059"/>
      <c r="O10" s="1059"/>
      <c r="P10" s="1059"/>
      <c r="Q10" s="1059"/>
      <c r="R10" s="1059"/>
      <c r="S10" s="1059"/>
      <c r="T10" s="1059"/>
      <c r="U10" s="1059"/>
      <c r="V10" s="1059"/>
    </row>
    <row r="11" spans="1:22" ht="24" customHeight="1">
      <c r="E11" s="1059"/>
      <c r="F11" s="2216"/>
      <c r="G11" s="2219"/>
      <c r="H11" s="2218" t="e">
        <f>INDEX(IP_MAIN_LIST_NAME_IP,MATCH(H8,IP_MAIN_LIST_IP_ID,0))&amp;" ("&amp;INDEX(IP_MAIN_START_DATE,MATCH(H8,IP_MAIN_LIST_IP_ID,0))&amp;"-"&amp;INDEX(IP_MAIN_END_DATE,MATCH(H8,IP_MAIN_LIST_IP_ID,0))&amp;")"</f>
        <v>#N/A</v>
      </c>
      <c r="I11" s="2218"/>
      <c r="J11" s="2218"/>
      <c r="K11" s="1144"/>
      <c r="L11" s="1059"/>
      <c r="M11" s="1059"/>
      <c r="N11" s="1059"/>
      <c r="O11" s="1059"/>
      <c r="P11" s="1059"/>
      <c r="Q11" s="1059"/>
      <c r="R11" s="1059"/>
      <c r="S11" s="1059"/>
      <c r="T11" s="1059"/>
      <c r="U11" s="1059"/>
      <c r="V11" s="1059"/>
    </row>
    <row r="12" spans="1:22" ht="10.5" customHeight="1">
      <c r="F12" s="2217"/>
      <c r="G12" s="2219"/>
      <c r="H12" s="1137" t="s">
        <v>1977</v>
      </c>
      <c r="I12" s="1143"/>
      <c r="J12" s="1137"/>
      <c r="K12" s="1145"/>
    </row>
    <row r="13" spans="1:22" ht="10.5" hidden="1" customHeight="1">
      <c r="F13" s="1137">
        <v>1</v>
      </c>
      <c r="G13" s="1137">
        <v>2</v>
      </c>
      <c r="H13" s="1137">
        <v>3</v>
      </c>
      <c r="I13" s="1137">
        <v>4</v>
      </c>
      <c r="J13" s="1137">
        <v>5</v>
      </c>
      <c r="K13" s="1145"/>
    </row>
    <row r="14" spans="1:22" ht="11.25" customHeight="1">
      <c r="F14" s="1136" t="s">
        <v>1071</v>
      </c>
      <c r="G14" s="2213" t="s">
        <v>1978</v>
      </c>
      <c r="H14" s="2213"/>
      <c r="I14" s="2213"/>
      <c r="J14" s="2213"/>
      <c r="K14" s="1145"/>
    </row>
    <row r="15" spans="1:22" ht="11.25" customHeight="1">
      <c r="F15" s="1141">
        <v>1</v>
      </c>
      <c r="G15" s="606" t="s">
        <v>1979</v>
      </c>
      <c r="H15" s="1147">
        <f t="shared" ref="H15:H36" si="0">SUM(I15:J15)</f>
        <v>0</v>
      </c>
      <c r="I15" s="1147">
        <f>SUM(I16:I27)</f>
        <v>0</v>
      </c>
      <c r="J15" s="1136"/>
      <c r="K15" s="1145"/>
    </row>
    <row r="16" spans="1:22" ht="22.5" customHeight="1">
      <c r="F16" s="1141" t="s">
        <v>429</v>
      </c>
      <c r="G16" s="1148" t="s">
        <v>1019</v>
      </c>
      <c r="H16" s="1147">
        <f t="shared" si="0"/>
        <v>0</v>
      </c>
      <c r="I16" s="1146"/>
      <c r="J16" s="1136"/>
      <c r="K16" s="1145"/>
    </row>
    <row r="17" spans="6:11" ht="22.5" customHeight="1">
      <c r="F17" s="1141" t="s">
        <v>444</v>
      </c>
      <c r="G17" s="1148" t="s">
        <v>1024</v>
      </c>
      <c r="H17" s="1147">
        <f t="shared" si="0"/>
        <v>0</v>
      </c>
      <c r="I17" s="1146"/>
      <c r="J17" s="1136"/>
      <c r="K17" s="1145"/>
    </row>
    <row r="18" spans="6:11" ht="33.75" customHeight="1">
      <c r="F18" s="1141" t="s">
        <v>447</v>
      </c>
      <c r="G18" s="1148" t="s">
        <v>1011</v>
      </c>
      <c r="H18" s="1147">
        <f t="shared" si="0"/>
        <v>0</v>
      </c>
      <c r="I18" s="1146"/>
      <c r="J18" s="1136"/>
      <c r="K18" s="1145"/>
    </row>
    <row r="19" spans="6:11" ht="33.75" customHeight="1">
      <c r="F19" s="1141" t="s">
        <v>1980</v>
      </c>
      <c r="G19" s="1148" t="s">
        <v>1050</v>
      </c>
      <c r="H19" s="1147">
        <f t="shared" si="0"/>
        <v>0</v>
      </c>
      <c r="I19" s="1146"/>
      <c r="J19" s="1136"/>
      <c r="K19" s="1145"/>
    </row>
    <row r="20" spans="6:11" ht="45" customHeight="1">
      <c r="F20" s="1141" t="s">
        <v>1981</v>
      </c>
      <c r="G20" s="1148" t="s">
        <v>1054</v>
      </c>
      <c r="H20" s="1147">
        <f t="shared" si="0"/>
        <v>0</v>
      </c>
      <c r="I20" s="1146"/>
      <c r="J20" s="1136"/>
      <c r="K20" s="1145"/>
    </row>
    <row r="21" spans="6:11" ht="33.75" customHeight="1">
      <c r="F21" s="1141" t="s">
        <v>1982</v>
      </c>
      <c r="G21" s="1148" t="s">
        <v>1061</v>
      </c>
      <c r="H21" s="1147">
        <f t="shared" si="0"/>
        <v>0</v>
      </c>
      <c r="I21" s="1146"/>
      <c r="J21" s="1136"/>
      <c r="K21" s="1145"/>
    </row>
    <row r="22" spans="6:11" ht="33.75" customHeight="1">
      <c r="F22" s="1141" t="s">
        <v>1983</v>
      </c>
      <c r="G22" s="1148" t="s">
        <v>1068</v>
      </c>
      <c r="H22" s="1147">
        <f t="shared" si="0"/>
        <v>0</v>
      </c>
      <c r="I22" s="1146"/>
      <c r="J22" s="1136"/>
      <c r="K22" s="1145"/>
    </row>
    <row r="23" spans="6:11" ht="22.5" customHeight="1">
      <c r="F23" s="1141" t="s">
        <v>1984</v>
      </c>
      <c r="G23" s="1148" t="s">
        <v>1073</v>
      </c>
      <c r="H23" s="1147">
        <f t="shared" si="0"/>
        <v>0</v>
      </c>
      <c r="I23" s="1146"/>
      <c r="J23" s="1136"/>
      <c r="K23" s="1145"/>
    </row>
    <row r="24" spans="6:11" ht="22.5" customHeight="1">
      <c r="F24" s="1141" t="s">
        <v>1985</v>
      </c>
      <c r="G24" s="1148" t="s">
        <v>1045</v>
      </c>
      <c r="H24" s="1147">
        <f t="shared" si="0"/>
        <v>0</v>
      </c>
      <c r="I24" s="1146"/>
      <c r="J24" s="1136"/>
      <c r="K24" s="1145"/>
    </row>
    <row r="25" spans="6:11" ht="33.75" customHeight="1">
      <c r="F25" s="1141" t="s">
        <v>1986</v>
      </c>
      <c r="G25" s="1148" t="s">
        <v>1112</v>
      </c>
      <c r="H25" s="1147">
        <f t="shared" si="0"/>
        <v>0</v>
      </c>
      <c r="I25" s="1146"/>
      <c r="J25" s="1136"/>
      <c r="K25" s="1145"/>
    </row>
    <row r="26" spans="6:11" ht="33.75" customHeight="1">
      <c r="F26" s="1141" t="s">
        <v>1987</v>
      </c>
      <c r="G26" s="1148" t="s">
        <v>1114</v>
      </c>
      <c r="H26" s="1147">
        <f t="shared" si="0"/>
        <v>0</v>
      </c>
      <c r="I26" s="1146"/>
      <c r="J26" s="1136"/>
      <c r="K26" s="1145"/>
    </row>
    <row r="27" spans="6:11" ht="11.25" customHeight="1">
      <c r="F27" s="1141" t="s">
        <v>1988</v>
      </c>
      <c r="G27" s="1148" t="s">
        <v>1023</v>
      </c>
      <c r="H27" s="1147">
        <f t="shared" si="0"/>
        <v>0</v>
      </c>
      <c r="I27" s="1146"/>
      <c r="J27" s="1136"/>
      <c r="K27" s="1145"/>
    </row>
    <row r="28" spans="6:11" ht="11.25" customHeight="1">
      <c r="F28" s="1141">
        <v>2</v>
      </c>
      <c r="G28" s="606" t="s">
        <v>1989</v>
      </c>
      <c r="H28" s="1147">
        <f t="shared" si="0"/>
        <v>0</v>
      </c>
      <c r="I28" s="1147">
        <f>SUM(I29:I31)</f>
        <v>0</v>
      </c>
      <c r="J28" s="1136"/>
      <c r="K28" s="1145"/>
    </row>
    <row r="29" spans="6:11" ht="11.25" customHeight="1">
      <c r="F29" s="1141" t="s">
        <v>454</v>
      </c>
      <c r="G29" s="1148" t="s">
        <v>1990</v>
      </c>
      <c r="H29" s="1147">
        <f t="shared" si="0"/>
        <v>0</v>
      </c>
      <c r="I29" s="1146"/>
      <c r="J29" s="1136"/>
      <c r="K29" s="1145"/>
    </row>
    <row r="30" spans="6:11" ht="11.25" customHeight="1">
      <c r="F30" s="1141" t="s">
        <v>298</v>
      </c>
      <c r="G30" s="1148" t="s">
        <v>1020</v>
      </c>
      <c r="H30" s="1147">
        <f t="shared" si="0"/>
        <v>0</v>
      </c>
      <c r="I30" s="1146"/>
      <c r="J30" s="1136"/>
      <c r="K30" s="1145"/>
    </row>
    <row r="31" spans="6:11" ht="11.25" customHeight="1">
      <c r="F31" s="1141" t="s">
        <v>301</v>
      </c>
      <c r="G31" s="1148" t="s">
        <v>1067</v>
      </c>
      <c r="H31" s="1147">
        <f t="shared" si="0"/>
        <v>0</v>
      </c>
      <c r="I31" s="1146"/>
      <c r="J31" s="1136"/>
      <c r="K31" s="1145"/>
    </row>
    <row r="32" spans="6:11" ht="11.25" customHeight="1">
      <c r="F32" s="1141">
        <v>3</v>
      </c>
      <c r="G32" s="606" t="s">
        <v>1991</v>
      </c>
      <c r="H32" s="1147">
        <f t="shared" si="0"/>
        <v>0</v>
      </c>
      <c r="I32" s="1147">
        <f>SUM(I33:I34)</f>
        <v>0</v>
      </c>
      <c r="J32" s="1136"/>
      <c r="K32" s="1145"/>
    </row>
    <row r="33" spans="6:11" ht="33.75" customHeight="1">
      <c r="F33" s="1141" t="s">
        <v>317</v>
      </c>
      <c r="G33" s="1148" t="s">
        <v>1992</v>
      </c>
      <c r="H33" s="1147">
        <f t="shared" si="0"/>
        <v>0</v>
      </c>
      <c r="I33" s="1146"/>
      <c r="J33" s="1136"/>
      <c r="K33" s="1145"/>
    </row>
    <row r="34" spans="6:11" ht="11.25" customHeight="1">
      <c r="F34" s="1141" t="s">
        <v>325</v>
      </c>
      <c r="G34" s="1148" t="s">
        <v>1993</v>
      </c>
      <c r="H34" s="1147">
        <f t="shared" si="0"/>
        <v>0</v>
      </c>
      <c r="I34" s="1146"/>
      <c r="J34" s="1136"/>
      <c r="K34" s="1145"/>
    </row>
    <row r="35" spans="6:11" ht="11.25" customHeight="1">
      <c r="F35" s="1141">
        <v>4</v>
      </c>
      <c r="G35" s="606" t="s">
        <v>1994</v>
      </c>
      <c r="H35" s="1147">
        <f t="shared" si="0"/>
        <v>0</v>
      </c>
      <c r="I35" s="1146"/>
      <c r="J35" s="1136"/>
      <c r="K35" s="1145"/>
    </row>
    <row r="36" spans="6:11" ht="11.25" customHeight="1">
      <c r="F36" s="1141"/>
      <c r="G36" s="609" t="s">
        <v>1995</v>
      </c>
      <c r="H36" s="1147">
        <f t="shared" si="0"/>
        <v>0</v>
      </c>
      <c r="I36" s="1147">
        <f>SUM(I15,I28,I32,I35)</f>
        <v>0</v>
      </c>
      <c r="J36" s="1136"/>
      <c r="K36" s="1145"/>
    </row>
    <row r="37" spans="6:11" ht="27.75" customHeight="1">
      <c r="F37" s="1142" t="s">
        <v>1203</v>
      </c>
      <c r="G37" s="2214" t="s">
        <v>1996</v>
      </c>
      <c r="H37" s="2214"/>
      <c r="I37" s="2214"/>
      <c r="J37" s="2214"/>
      <c r="K37" s="1145"/>
    </row>
    <row r="38" spans="6:11" ht="22.5" customHeight="1">
      <c r="F38" s="1141" t="s">
        <v>109</v>
      </c>
      <c r="G38" s="606" t="s">
        <v>1997</v>
      </c>
      <c r="H38" s="1147">
        <f t="shared" ref="H38:H58" si="1">SUM(I38:J38)</f>
        <v>0</v>
      </c>
      <c r="I38" s="1147">
        <f>SUM(I39,I44,I47)</f>
        <v>0</v>
      </c>
      <c r="J38" s="1136"/>
      <c r="K38" s="1145"/>
    </row>
    <row r="39" spans="6:11" ht="11.25" customHeight="1">
      <c r="F39" s="1141" t="s">
        <v>429</v>
      </c>
      <c r="G39" s="1148" t="s">
        <v>1979</v>
      </c>
      <c r="H39" s="1147">
        <f t="shared" si="1"/>
        <v>0</v>
      </c>
      <c r="I39" s="1147">
        <f>SUM(I40:I43)</f>
        <v>0</v>
      </c>
      <c r="J39" s="1136"/>
      <c r="K39" s="1145"/>
    </row>
    <row r="40" spans="6:11" ht="22.5" customHeight="1">
      <c r="F40" s="1141" t="s">
        <v>442</v>
      </c>
      <c r="G40" s="1149" t="s">
        <v>1998</v>
      </c>
      <c r="H40" s="1147">
        <f t="shared" si="1"/>
        <v>0</v>
      </c>
      <c r="I40" s="1146"/>
      <c r="J40" s="1136"/>
      <c r="K40" s="1145"/>
    </row>
    <row r="41" spans="6:11" ht="11.25" customHeight="1">
      <c r="F41" s="1141" t="s">
        <v>1999</v>
      </c>
      <c r="G41" s="1149" t="s">
        <v>1012</v>
      </c>
      <c r="H41" s="1147">
        <f t="shared" si="1"/>
        <v>0</v>
      </c>
      <c r="I41" s="1146"/>
      <c r="J41" s="1136"/>
      <c r="K41" s="1145"/>
    </row>
    <row r="42" spans="6:11" ht="11.25" customHeight="1">
      <c r="F42" s="1141" t="s">
        <v>2000</v>
      </c>
      <c r="G42" s="1149" t="s">
        <v>2001</v>
      </c>
      <c r="H42" s="1147">
        <f t="shared" si="1"/>
        <v>0</v>
      </c>
      <c r="I42" s="1146"/>
      <c r="J42" s="1136"/>
      <c r="K42" s="1145"/>
    </row>
    <row r="43" spans="6:11" ht="33.75" customHeight="1">
      <c r="F43" s="1141" t="s">
        <v>2002</v>
      </c>
      <c r="G43" s="1149" t="s">
        <v>2003</v>
      </c>
      <c r="H43" s="1147">
        <f t="shared" si="1"/>
        <v>0</v>
      </c>
      <c r="I43" s="1146"/>
      <c r="J43" s="1136"/>
      <c r="K43" s="1145"/>
    </row>
    <row r="44" spans="6:11" ht="11.25" customHeight="1">
      <c r="F44" s="1141" t="s">
        <v>444</v>
      </c>
      <c r="G44" s="1148" t="s">
        <v>1991</v>
      </c>
      <c r="H44" s="1147">
        <f t="shared" si="1"/>
        <v>0</v>
      </c>
      <c r="I44" s="1147">
        <f>SUM(I45:I46)</f>
        <v>0</v>
      </c>
      <c r="J44" s="1136"/>
      <c r="K44" s="1145"/>
    </row>
    <row r="45" spans="6:11" ht="45" customHeight="1">
      <c r="F45" s="1141" t="s">
        <v>445</v>
      </c>
      <c r="G45" s="1149" t="s">
        <v>1992</v>
      </c>
      <c r="H45" s="1147">
        <f t="shared" si="1"/>
        <v>0</v>
      </c>
      <c r="I45" s="1146"/>
      <c r="J45" s="1136"/>
      <c r="K45" s="1145"/>
    </row>
    <row r="46" spans="6:11" ht="11.25" customHeight="1">
      <c r="F46" s="1141" t="s">
        <v>2004</v>
      </c>
      <c r="G46" s="1149" t="s">
        <v>1993</v>
      </c>
      <c r="H46" s="1147">
        <f t="shared" si="1"/>
        <v>0</v>
      </c>
      <c r="I46" s="1146"/>
      <c r="J46" s="1136"/>
      <c r="K46" s="1145"/>
    </row>
    <row r="47" spans="6:11" ht="11.25" customHeight="1">
      <c r="F47" s="1141" t="s">
        <v>447</v>
      </c>
      <c r="G47" s="1148" t="s">
        <v>2005</v>
      </c>
      <c r="H47" s="1147">
        <f t="shared" si="1"/>
        <v>0</v>
      </c>
      <c r="I47" s="1146"/>
      <c r="J47" s="1136"/>
      <c r="K47" s="1145"/>
    </row>
    <row r="48" spans="6:11" ht="22.5" customHeight="1">
      <c r="F48" s="1141" t="s">
        <v>110</v>
      </c>
      <c r="G48" s="606" t="s">
        <v>2006</v>
      </c>
      <c r="H48" s="1147">
        <f t="shared" si="1"/>
        <v>0</v>
      </c>
      <c r="I48" s="1147">
        <f>SUM(I49,I54,I57)</f>
        <v>0</v>
      </c>
      <c r="J48" s="1136"/>
      <c r="K48" s="1145"/>
    </row>
    <row r="49" spans="6:11" ht="11.25" customHeight="1">
      <c r="F49" s="1141" t="s">
        <v>454</v>
      </c>
      <c r="G49" s="1148" t="s">
        <v>1979</v>
      </c>
      <c r="H49" s="1147">
        <f t="shared" si="1"/>
        <v>0</v>
      </c>
      <c r="I49" s="1147">
        <f>SUM(I50:I53)</f>
        <v>0</v>
      </c>
      <c r="J49" s="1136"/>
      <c r="K49" s="1145"/>
    </row>
    <row r="50" spans="6:11" ht="22.5" customHeight="1">
      <c r="F50" s="1141" t="s">
        <v>456</v>
      </c>
      <c r="G50" s="1149" t="s">
        <v>1998</v>
      </c>
      <c r="H50" s="1147">
        <f t="shared" si="1"/>
        <v>0</v>
      </c>
      <c r="I50" s="1146"/>
      <c r="J50" s="1136"/>
      <c r="K50" s="1145"/>
    </row>
    <row r="51" spans="6:11" ht="11.25" customHeight="1">
      <c r="F51" s="1141" t="s">
        <v>1762</v>
      </c>
      <c r="G51" s="1149" t="s">
        <v>1012</v>
      </c>
      <c r="H51" s="1147">
        <f t="shared" si="1"/>
        <v>0</v>
      </c>
      <c r="I51" s="1146"/>
      <c r="J51" s="1136"/>
      <c r="K51" s="1145"/>
    </row>
    <row r="52" spans="6:11" ht="11.25" customHeight="1">
      <c r="F52" s="1141" t="s">
        <v>2007</v>
      </c>
      <c r="G52" s="1149" t="s">
        <v>2001</v>
      </c>
      <c r="H52" s="1147">
        <f t="shared" si="1"/>
        <v>0</v>
      </c>
      <c r="I52" s="1146"/>
      <c r="J52" s="1136"/>
      <c r="K52" s="1145"/>
    </row>
    <row r="53" spans="6:11" ht="33.75" customHeight="1">
      <c r="F53" s="1141" t="s">
        <v>2008</v>
      </c>
      <c r="G53" s="1149" t="s">
        <v>2003</v>
      </c>
      <c r="H53" s="1147">
        <f t="shared" si="1"/>
        <v>0</v>
      </c>
      <c r="I53" s="1146"/>
      <c r="J53" s="1136"/>
      <c r="K53" s="1145"/>
    </row>
    <row r="54" spans="6:11" ht="11.25" customHeight="1">
      <c r="F54" s="1141" t="s">
        <v>298</v>
      </c>
      <c r="G54" s="1148" t="s">
        <v>1991</v>
      </c>
      <c r="H54" s="1147">
        <f t="shared" si="1"/>
        <v>0</v>
      </c>
      <c r="I54" s="1147">
        <f>SUM(I55:I56)</f>
        <v>0</v>
      </c>
      <c r="J54" s="1136"/>
      <c r="K54" s="1145"/>
    </row>
    <row r="55" spans="6:11" ht="45" customHeight="1">
      <c r="F55" s="1141" t="s">
        <v>1371</v>
      </c>
      <c r="G55" s="1149" t="s">
        <v>1992</v>
      </c>
      <c r="H55" s="1147">
        <f t="shared" si="1"/>
        <v>0</v>
      </c>
      <c r="I55" s="1146"/>
      <c r="J55" s="1136"/>
      <c r="K55" s="1145"/>
    </row>
    <row r="56" spans="6:11" ht="11.25" customHeight="1">
      <c r="F56" s="1141" t="s">
        <v>1376</v>
      </c>
      <c r="G56" s="1149" t="s">
        <v>1993</v>
      </c>
      <c r="H56" s="1147">
        <f t="shared" si="1"/>
        <v>0</v>
      </c>
      <c r="I56" s="1146"/>
      <c r="J56" s="1136"/>
      <c r="K56" s="1145"/>
    </row>
    <row r="57" spans="6:11" ht="11.25" customHeight="1">
      <c r="F57" s="1141" t="s">
        <v>301</v>
      </c>
      <c r="G57" s="1148" t="s">
        <v>2005</v>
      </c>
      <c r="H57" s="1147">
        <f t="shared" si="1"/>
        <v>0</v>
      </c>
      <c r="I57" s="1146"/>
      <c r="J57" s="1136"/>
      <c r="K57" s="1145"/>
    </row>
    <row r="58" spans="6:11" ht="11.25" customHeight="1">
      <c r="F58" s="1141"/>
      <c r="G58" s="1150" t="s">
        <v>1995</v>
      </c>
      <c r="H58" s="1147">
        <f t="shared" si="1"/>
        <v>0</v>
      </c>
      <c r="I58" s="1147">
        <f>SUM(I38,I48)</f>
        <v>0</v>
      </c>
      <c r="J58" s="1136"/>
      <c r="K58" s="1145"/>
    </row>
  </sheetData>
  <sheetProtection formatColumns="0" formatRows="0" insertRows="0" deleteColumns="0" deleteRows="0" sort="0" autoFilter="0"/>
  <mergeCells count="9">
    <mergeCell ref="F5:J5"/>
    <mergeCell ref="F6:J6"/>
    <mergeCell ref="F9:J9"/>
    <mergeCell ref="G14:J14"/>
    <mergeCell ref="G37:J37"/>
    <mergeCell ref="F10:F12"/>
    <mergeCell ref="H10:J10"/>
    <mergeCell ref="H11:J11"/>
    <mergeCell ref="G10:G12"/>
  </mergeCells>
  <dataValidations count="1">
    <dataValidation type="decimal" allowBlank="1" showErrorMessage="1" errorTitle="Ошибка" error="Допускается ввод только неотрицательных чисел!" sqref="I29:I31 I33:I35 I40:I43 I45:I47 I50:I53 I55:I57 I16:I27">
      <formula1>0</formula1>
      <formula2>9.99999999999999E+23</formula2>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249977111117893"/>
  </sheetPr>
  <dimension ref="A1:GB24"/>
  <sheetViews>
    <sheetView showGridLines="0" topLeftCell="E4" zoomScale="90" workbookViewId="0"/>
  </sheetViews>
  <sheetFormatPr defaultColWidth="9.140625" defaultRowHeight="12" customHeight="1"/>
  <cols>
    <col min="1" max="1" width="4.7109375" style="971" hidden="1" customWidth="1"/>
    <col min="2" max="2" width="4.7109375" style="848" hidden="1" customWidth="1"/>
    <col min="3" max="4" width="4.7109375" style="971" hidden="1" customWidth="1"/>
    <col min="5" max="5" width="3.5703125" style="971" customWidth="1"/>
    <col min="6" max="6" width="6.7109375" style="971" customWidth="1"/>
    <col min="7" max="7" width="18.7109375" style="971" customWidth="1"/>
    <col min="8" max="8" width="27.28515625" style="971" customWidth="1"/>
    <col min="9" max="9" width="18.7109375" style="971" customWidth="1"/>
    <col min="10" max="14" width="0.85546875" style="971" hidden="1" customWidth="1"/>
    <col min="15" max="28" width="21.7109375" style="971" hidden="1" customWidth="1"/>
    <col min="29" max="71" width="0.85546875" style="971" hidden="1" customWidth="1"/>
    <col min="72" max="79" width="21.7109375" style="971" customWidth="1"/>
    <col min="80" max="81" width="29.140625" style="971" customWidth="1"/>
    <col min="82" max="89" width="21.7109375" style="971" customWidth="1"/>
    <col min="90" max="102" width="0.7109375" style="971" customWidth="1"/>
    <col min="103" max="114" width="21.7109375" style="971" hidden="1" customWidth="1"/>
    <col min="115" max="178" width="0.7109375" style="971" hidden="1" customWidth="1"/>
    <col min="179" max="179" width="0.140625" style="971" customWidth="1"/>
    <col min="180" max="184" width="9.140625" style="971"/>
  </cols>
  <sheetData>
    <row r="1" spans="2:180" s="839" customFormat="1" ht="12" hidden="1" customHeight="1">
      <c r="B1" s="837"/>
      <c r="C1" s="838"/>
      <c r="D1" s="838"/>
    </row>
    <row r="2" spans="2:180" s="839" customFormat="1" ht="12" hidden="1" customHeight="1">
      <c r="B2" s="837"/>
      <c r="C2" s="838"/>
      <c r="D2" s="838"/>
      <c r="E2" s="838"/>
      <c r="F2" s="838"/>
      <c r="G2" s="838"/>
      <c r="H2" s="838"/>
      <c r="I2" s="838"/>
      <c r="J2" s="838"/>
      <c r="K2" s="838"/>
      <c r="L2" s="838"/>
      <c r="M2" s="838"/>
      <c r="N2" s="838"/>
      <c r="O2" s="838"/>
      <c r="P2" s="838"/>
      <c r="Q2" s="838"/>
      <c r="R2" s="838"/>
      <c r="S2" s="838"/>
      <c r="T2" s="838"/>
      <c r="U2" s="838"/>
      <c r="V2" s="838"/>
      <c r="W2" s="838"/>
      <c r="X2" s="838"/>
      <c r="Y2" s="838"/>
      <c r="Z2" s="838"/>
      <c r="AA2" s="838"/>
      <c r="AC2" s="838"/>
      <c r="AD2" s="838"/>
      <c r="AE2" s="838"/>
      <c r="AF2" s="838"/>
      <c r="AG2" s="838"/>
      <c r="AH2" s="838"/>
      <c r="AI2" s="838"/>
      <c r="AJ2" s="838"/>
      <c r="AK2" s="838"/>
      <c r="AL2" s="838"/>
      <c r="AM2" s="838"/>
      <c r="AN2" s="838"/>
      <c r="AO2" s="838"/>
      <c r="AP2" s="838"/>
      <c r="AQ2" s="838"/>
      <c r="AR2" s="838"/>
      <c r="AS2" s="838"/>
      <c r="AT2" s="838"/>
      <c r="AU2" s="838"/>
      <c r="AV2" s="838"/>
      <c r="AW2" s="838"/>
      <c r="AX2" s="838"/>
      <c r="AY2" s="838"/>
      <c r="AZ2" s="838"/>
      <c r="BA2" s="838"/>
      <c r="BB2" s="838"/>
      <c r="BC2" s="838"/>
      <c r="BD2" s="838"/>
      <c r="BE2" s="838"/>
      <c r="BF2" s="838"/>
      <c r="BG2" s="838"/>
      <c r="BH2" s="838"/>
      <c r="BI2" s="838"/>
      <c r="BJ2" s="838"/>
      <c r="BK2" s="838"/>
      <c r="BL2" s="838"/>
      <c r="BM2" s="838"/>
      <c r="BN2" s="838"/>
      <c r="BO2" s="838"/>
      <c r="BP2" s="838"/>
      <c r="BQ2" s="838"/>
      <c r="BR2" s="838"/>
      <c r="BS2" s="838"/>
      <c r="BT2" s="838"/>
      <c r="BU2" s="838"/>
      <c r="BV2" s="838"/>
      <c r="BW2" s="838"/>
      <c r="BX2" s="838"/>
      <c r="BY2" s="838"/>
      <c r="BZ2" s="838"/>
      <c r="CA2" s="838"/>
      <c r="CB2" s="838"/>
      <c r="CC2" s="838"/>
      <c r="CD2" s="838"/>
      <c r="CE2" s="838"/>
      <c r="CF2" s="838"/>
      <c r="CG2" s="838"/>
      <c r="CH2" s="838"/>
      <c r="CI2" s="838"/>
      <c r="CJ2" s="838"/>
      <c r="CK2" s="838"/>
      <c r="CL2" s="838"/>
      <c r="CM2" s="838"/>
      <c r="CN2" s="838"/>
      <c r="CO2" s="838"/>
      <c r="CP2" s="838"/>
      <c r="CQ2" s="838"/>
      <c r="CR2" s="838"/>
      <c r="CS2" s="838"/>
      <c r="CT2" s="838"/>
      <c r="CU2" s="838"/>
      <c r="CV2" s="838"/>
      <c r="CW2" s="838"/>
      <c r="CX2" s="838"/>
      <c r="CY2" s="838"/>
      <c r="CZ2" s="838"/>
      <c r="DA2" s="838"/>
      <c r="DB2" s="838"/>
      <c r="DC2" s="838"/>
      <c r="DD2" s="838"/>
      <c r="DE2" s="838"/>
      <c r="DF2" s="838"/>
      <c r="DG2" s="838"/>
      <c r="DH2" s="838"/>
      <c r="DI2" s="838"/>
      <c r="DJ2" s="838"/>
      <c r="DK2" s="838"/>
      <c r="DL2" s="838"/>
      <c r="DM2" s="838"/>
      <c r="DN2" s="838"/>
      <c r="DO2" s="838"/>
      <c r="DP2" s="838"/>
      <c r="DQ2" s="838"/>
      <c r="DR2" s="838"/>
      <c r="DS2" s="838"/>
      <c r="DT2" s="838"/>
      <c r="DU2" s="838"/>
      <c r="DV2" s="838"/>
      <c r="DW2" s="838"/>
      <c r="DX2" s="838"/>
      <c r="DY2" s="838"/>
      <c r="DZ2" s="838"/>
      <c r="EA2" s="838"/>
      <c r="EB2" s="838"/>
      <c r="EC2" s="838"/>
      <c r="ED2" s="838"/>
      <c r="EE2" s="838"/>
      <c r="EF2" s="838"/>
      <c r="EG2" s="838"/>
      <c r="EH2" s="838"/>
      <c r="EI2" s="838"/>
      <c r="EJ2" s="838"/>
      <c r="EK2" s="838"/>
      <c r="EL2" s="838"/>
      <c r="EM2" s="838"/>
      <c r="EN2" s="838"/>
      <c r="EO2" s="838"/>
      <c r="EP2" s="838"/>
      <c r="EQ2" s="838"/>
      <c r="ER2" s="838"/>
      <c r="ES2" s="838"/>
      <c r="ET2" s="838"/>
      <c r="EU2" s="838"/>
      <c r="EV2" s="838"/>
      <c r="EW2" s="838"/>
      <c r="EX2" s="838"/>
      <c r="EY2" s="838"/>
      <c r="EZ2" s="838"/>
      <c r="FA2" s="838"/>
      <c r="FB2" s="838"/>
      <c r="FC2" s="838"/>
      <c r="FD2" s="838"/>
      <c r="FE2" s="838"/>
      <c r="FF2" s="838"/>
      <c r="FG2" s="838"/>
      <c r="FH2" s="838"/>
      <c r="FI2" s="838"/>
      <c r="FJ2" s="838"/>
      <c r="FK2" s="838"/>
      <c r="FL2" s="838"/>
      <c r="FM2" s="838"/>
      <c r="FN2" s="838"/>
      <c r="FO2" s="838"/>
      <c r="FP2" s="838"/>
      <c r="FQ2" s="838"/>
      <c r="FR2" s="838"/>
      <c r="FS2" s="838"/>
      <c r="FT2" s="838"/>
      <c r="FU2" s="838"/>
      <c r="FV2" s="838"/>
      <c r="FW2" s="838"/>
    </row>
    <row r="3" spans="2:180" s="839" customFormat="1" ht="12" hidden="1" customHeight="1">
      <c r="B3" s="837"/>
      <c r="C3" s="838"/>
      <c r="D3" s="838"/>
      <c r="E3" s="838"/>
      <c r="F3" s="838"/>
      <c r="G3" s="838"/>
      <c r="H3" s="838"/>
      <c r="I3" s="838"/>
      <c r="J3" s="838"/>
      <c r="K3" s="838"/>
      <c r="L3" s="838"/>
      <c r="M3" s="838"/>
      <c r="N3" s="838"/>
      <c r="O3" s="838"/>
      <c r="P3" s="838"/>
      <c r="Q3" s="838"/>
      <c r="R3" s="838"/>
      <c r="S3" s="838"/>
      <c r="T3" s="838"/>
      <c r="U3" s="838"/>
      <c r="V3" s="838"/>
      <c r="W3" s="838"/>
      <c r="X3" s="838"/>
      <c r="Y3" s="838"/>
      <c r="Z3" s="838"/>
      <c r="AA3" s="838"/>
      <c r="AC3" s="838"/>
      <c r="AD3" s="838"/>
      <c r="AE3" s="838"/>
      <c r="AF3" s="838"/>
      <c r="AG3" s="838"/>
      <c r="AH3" s="838"/>
      <c r="AI3" s="838"/>
      <c r="AJ3" s="838"/>
      <c r="AK3" s="838"/>
      <c r="AL3" s="838"/>
      <c r="AM3" s="838"/>
      <c r="AN3" s="838"/>
      <c r="AO3" s="838"/>
      <c r="AP3" s="838"/>
      <c r="AQ3" s="838"/>
      <c r="AR3" s="838"/>
      <c r="AS3" s="838"/>
      <c r="AT3" s="838"/>
      <c r="AU3" s="838"/>
      <c r="AV3" s="838"/>
      <c r="AW3" s="838"/>
      <c r="AX3" s="838"/>
      <c r="AY3" s="838"/>
      <c r="AZ3" s="838"/>
      <c r="BA3" s="838"/>
      <c r="BB3" s="838"/>
      <c r="BC3" s="838"/>
      <c r="BD3" s="838"/>
      <c r="BE3" s="838"/>
      <c r="BF3" s="838"/>
      <c r="BG3" s="838"/>
      <c r="BH3" s="838"/>
      <c r="BI3" s="838"/>
      <c r="BJ3" s="838"/>
      <c r="BK3" s="838"/>
      <c r="BL3" s="838"/>
      <c r="BM3" s="838"/>
      <c r="BN3" s="838"/>
      <c r="BO3" s="838"/>
      <c r="BP3" s="838"/>
      <c r="BQ3" s="838"/>
      <c r="BR3" s="838"/>
      <c r="BS3" s="838"/>
      <c r="BT3" s="838"/>
      <c r="BU3" s="838"/>
      <c r="BV3" s="838"/>
      <c r="BW3" s="838"/>
      <c r="BX3" s="838"/>
      <c r="BY3" s="838"/>
      <c r="BZ3" s="838"/>
      <c r="CA3" s="838"/>
      <c r="CB3" s="838"/>
      <c r="CC3" s="838"/>
      <c r="CD3" s="838"/>
      <c r="CE3" s="838"/>
      <c r="CF3" s="838"/>
      <c r="CG3" s="838"/>
      <c r="CH3" s="838"/>
      <c r="CI3" s="838"/>
      <c r="CJ3" s="838"/>
      <c r="CK3" s="838"/>
      <c r="CL3" s="838"/>
      <c r="CM3" s="838"/>
      <c r="CN3" s="838"/>
      <c r="CO3" s="838"/>
      <c r="CP3" s="838"/>
      <c r="CQ3" s="838"/>
      <c r="CR3" s="838"/>
      <c r="CS3" s="838"/>
      <c r="CT3" s="838"/>
      <c r="CU3" s="838"/>
      <c r="CV3" s="838"/>
      <c r="CW3" s="838"/>
      <c r="CX3" s="838"/>
      <c r="CY3" s="838"/>
      <c r="CZ3" s="838"/>
      <c r="DA3" s="838"/>
      <c r="DB3" s="838"/>
      <c r="DC3" s="838"/>
      <c r="DD3" s="838"/>
      <c r="DE3" s="838"/>
      <c r="DF3" s="838"/>
      <c r="DG3" s="838"/>
      <c r="DH3" s="838"/>
      <c r="DI3" s="838"/>
      <c r="DJ3" s="838"/>
      <c r="DK3" s="838"/>
      <c r="DL3" s="838"/>
      <c r="DM3" s="838"/>
      <c r="DN3" s="838"/>
      <c r="DO3" s="838"/>
      <c r="DP3" s="838"/>
      <c r="DQ3" s="838"/>
      <c r="DR3" s="838"/>
      <c r="DS3" s="838"/>
      <c r="DT3" s="838"/>
      <c r="DU3" s="838"/>
      <c r="DV3" s="838"/>
      <c r="DW3" s="838"/>
      <c r="DX3" s="838"/>
      <c r="DY3" s="838"/>
      <c r="DZ3" s="838"/>
      <c r="EA3" s="838"/>
      <c r="EB3" s="838"/>
      <c r="EC3" s="838"/>
      <c r="ED3" s="838"/>
      <c r="EE3" s="838"/>
      <c r="EF3" s="838"/>
      <c r="EG3" s="838"/>
      <c r="EH3" s="838"/>
      <c r="EI3" s="838"/>
      <c r="EJ3" s="838"/>
      <c r="EK3" s="838"/>
      <c r="EL3" s="838"/>
      <c r="EM3" s="838"/>
      <c r="EN3" s="838"/>
      <c r="EO3" s="838"/>
      <c r="EP3" s="838"/>
      <c r="EQ3" s="838"/>
      <c r="ER3" s="838"/>
      <c r="ES3" s="838"/>
      <c r="ET3" s="838"/>
      <c r="EU3" s="838"/>
      <c r="EV3" s="838"/>
      <c r="EW3" s="838"/>
      <c r="EX3" s="838"/>
      <c r="EY3" s="838"/>
      <c r="EZ3" s="838"/>
      <c r="FA3" s="838"/>
      <c r="FB3" s="838"/>
      <c r="FC3" s="838"/>
      <c r="FD3" s="838"/>
      <c r="FE3" s="838"/>
      <c r="FF3" s="838"/>
      <c r="FG3" s="838"/>
      <c r="FH3" s="838"/>
      <c r="FI3" s="838"/>
      <c r="FJ3" s="838"/>
      <c r="FK3" s="838"/>
      <c r="FL3" s="838"/>
      <c r="FM3" s="838"/>
      <c r="FN3" s="838"/>
      <c r="FO3" s="838"/>
      <c r="FP3" s="838"/>
      <c r="FQ3" s="838"/>
      <c r="FR3" s="838"/>
      <c r="FS3" s="838"/>
      <c r="FT3" s="838"/>
      <c r="FU3" s="838"/>
      <c r="FV3" s="838"/>
      <c r="FW3" s="838"/>
    </row>
    <row r="4" spans="2:180" ht="10.5" customHeight="1">
      <c r="B4" s="840"/>
      <c r="C4" s="841"/>
      <c r="D4" s="841"/>
      <c r="E4" s="841"/>
      <c r="F4" s="841"/>
      <c r="G4" s="841"/>
      <c r="H4" s="842"/>
      <c r="I4" s="842"/>
      <c r="J4" s="842"/>
      <c r="K4" s="842"/>
      <c r="L4" s="842"/>
      <c r="M4" s="843"/>
      <c r="N4" s="843"/>
      <c r="O4" s="843"/>
      <c r="P4" s="843"/>
      <c r="Q4" s="843"/>
      <c r="R4" s="843"/>
      <c r="S4" s="843"/>
      <c r="T4" s="843"/>
      <c r="U4" s="843"/>
      <c r="V4" s="843"/>
      <c r="W4" s="843"/>
      <c r="X4" s="843"/>
      <c r="Y4" s="843"/>
      <c r="Z4" s="843"/>
      <c r="AA4" s="843"/>
      <c r="AB4" s="843"/>
      <c r="AC4" s="843"/>
      <c r="AD4" s="843"/>
      <c r="AE4" s="843"/>
      <c r="AF4" s="843"/>
      <c r="AG4" s="843"/>
      <c r="AH4" s="843"/>
      <c r="AI4" s="843"/>
      <c r="AJ4" s="843"/>
      <c r="AK4" s="843"/>
      <c r="AL4" s="843"/>
      <c r="AM4" s="843"/>
      <c r="AN4" s="843"/>
      <c r="AO4" s="843"/>
      <c r="AP4" s="843"/>
      <c r="AQ4" s="843"/>
      <c r="AR4" s="843"/>
      <c r="AS4" s="843"/>
      <c r="AT4" s="843"/>
      <c r="AU4" s="843"/>
      <c r="AV4" s="843"/>
      <c r="AW4" s="843"/>
      <c r="AX4" s="843"/>
      <c r="AY4" s="843"/>
      <c r="AZ4" s="843"/>
      <c r="BA4" s="843"/>
      <c r="BB4" s="843"/>
      <c r="BC4" s="843"/>
      <c r="BD4" s="843"/>
      <c r="BE4" s="843"/>
      <c r="BF4" s="843"/>
      <c r="BG4" s="843"/>
      <c r="BH4" s="843"/>
      <c r="BI4" s="843"/>
      <c r="BJ4" s="843"/>
      <c r="BK4" s="843"/>
      <c r="BL4" s="843"/>
      <c r="BM4" s="843"/>
      <c r="BN4" s="843"/>
      <c r="BO4" s="843"/>
      <c r="BP4" s="843"/>
      <c r="BQ4" s="843"/>
      <c r="BR4" s="843"/>
      <c r="BS4" s="843"/>
      <c r="BT4" s="843"/>
      <c r="BU4" s="843"/>
      <c r="BV4" s="843"/>
      <c r="BW4" s="843"/>
      <c r="BX4" s="843"/>
      <c r="BY4" s="843"/>
      <c r="BZ4" s="843"/>
      <c r="CA4" s="843"/>
      <c r="CB4" s="843"/>
      <c r="CC4" s="843"/>
      <c r="CD4" s="843"/>
      <c r="CE4" s="843"/>
      <c r="CF4" s="843"/>
      <c r="CG4" s="843"/>
      <c r="CH4" s="843"/>
      <c r="CI4" s="843"/>
      <c r="CJ4" s="843"/>
      <c r="CK4" s="843"/>
      <c r="CL4" s="843"/>
      <c r="CM4" s="843"/>
      <c r="CN4" s="843"/>
      <c r="CO4" s="843"/>
      <c r="CP4" s="843"/>
      <c r="CQ4" s="843"/>
      <c r="CR4" s="843"/>
      <c r="CS4" s="843"/>
      <c r="CT4" s="843"/>
      <c r="CU4" s="843"/>
      <c r="CV4" s="843"/>
      <c r="CW4" s="843"/>
      <c r="CX4" s="843"/>
      <c r="CY4" s="843"/>
      <c r="CZ4" s="843"/>
      <c r="DA4" s="843"/>
      <c r="DB4" s="843"/>
      <c r="DC4" s="843"/>
      <c r="DD4" s="843"/>
      <c r="DE4" s="843"/>
      <c r="DF4" s="843"/>
      <c r="DG4" s="843"/>
      <c r="DH4" s="843"/>
      <c r="DI4" s="843"/>
      <c r="DJ4" s="843"/>
      <c r="DK4" s="843"/>
      <c r="DL4" s="843"/>
      <c r="DM4" s="843"/>
      <c r="DN4" s="843"/>
      <c r="DO4" s="843"/>
      <c r="DP4" s="843"/>
      <c r="DQ4" s="843"/>
      <c r="DR4" s="843"/>
      <c r="DS4" s="843"/>
      <c r="DT4" s="843"/>
      <c r="DU4" s="843"/>
      <c r="DV4" s="843"/>
      <c r="DW4" s="843"/>
      <c r="DX4" s="843"/>
      <c r="DY4" s="843"/>
      <c r="DZ4" s="843"/>
      <c r="EA4" s="843"/>
      <c r="EB4" s="843"/>
      <c r="EC4" s="843"/>
      <c r="ED4" s="843"/>
      <c r="EE4" s="843"/>
      <c r="EF4" s="843"/>
      <c r="EG4" s="843"/>
      <c r="EH4" s="843"/>
      <c r="EI4" s="843"/>
      <c r="EJ4" s="843"/>
      <c r="EK4" s="843"/>
      <c r="EL4" s="843"/>
      <c r="EM4" s="843"/>
      <c r="EN4" s="843"/>
      <c r="EO4" s="843"/>
      <c r="EP4" s="843"/>
      <c r="EQ4" s="843"/>
      <c r="ER4" s="843"/>
      <c r="ES4" s="843"/>
      <c r="ET4" s="843"/>
      <c r="EU4" s="843"/>
      <c r="EV4" s="843"/>
      <c r="EW4" s="843"/>
      <c r="EX4" s="843"/>
      <c r="EY4" s="843"/>
      <c r="EZ4" s="843"/>
      <c r="FA4" s="843"/>
      <c r="FB4" s="843"/>
      <c r="FC4" s="843"/>
      <c r="FD4" s="843"/>
      <c r="FE4" s="843"/>
      <c r="FF4" s="843"/>
      <c r="FG4" s="843"/>
      <c r="FH4" s="843"/>
      <c r="FI4" s="843"/>
      <c r="FJ4" s="843"/>
      <c r="FK4" s="843"/>
      <c r="FL4" s="843"/>
      <c r="FM4" s="843"/>
      <c r="FN4" s="843"/>
      <c r="FO4" s="843"/>
      <c r="FP4" s="843"/>
      <c r="FQ4" s="843"/>
      <c r="FR4" s="843"/>
      <c r="FS4" s="843"/>
      <c r="FT4" s="843"/>
      <c r="FU4" s="843"/>
      <c r="FV4" s="843"/>
      <c r="FW4" s="843"/>
    </row>
    <row r="5" spans="2:180" s="1788" customFormat="1" ht="24" customHeight="1">
      <c r="B5" s="856"/>
      <c r="E5" s="857"/>
      <c r="F5" s="1867" t="str">
        <f>"Информация о реализации инвестиционных программ и показатели качества, надежности и энергетической эффективности в сфере "&amp;TEMPLATE_SPHERE_RUS&amp;" на "&amp;TITLE_FIL_YEAR&amp;" год"</f>
        <v>Информация о реализации инвестиционных программ и показатели качества, надежности и энергетической эффективности в сфере холодного водоснабжения на 2024 год</v>
      </c>
      <c r="G5" s="1868"/>
      <c r="H5" s="1868"/>
      <c r="I5" s="1868"/>
      <c r="J5" s="1868"/>
      <c r="K5" s="1868"/>
      <c r="L5" s="1868"/>
      <c r="M5" s="1868"/>
      <c r="N5" s="1868"/>
      <c r="O5" s="1868"/>
      <c r="P5" s="1868"/>
      <c r="Q5" s="1868"/>
      <c r="R5" s="1868"/>
      <c r="S5" s="1868"/>
      <c r="T5" s="1868"/>
      <c r="U5" s="1868"/>
      <c r="V5" s="1868"/>
      <c r="W5" s="1868"/>
      <c r="X5" s="1868"/>
      <c r="Y5" s="1868"/>
      <c r="Z5" s="1868"/>
      <c r="AA5" s="1868"/>
      <c r="AB5" s="1868"/>
      <c r="AC5" s="1868"/>
      <c r="AD5" s="1868"/>
      <c r="AE5" s="1868"/>
      <c r="AF5" s="1868"/>
      <c r="AG5" s="1868"/>
      <c r="AH5" s="1868"/>
      <c r="AI5" s="1868"/>
      <c r="AJ5" s="1868"/>
      <c r="AK5" s="1868"/>
      <c r="AL5" s="1868"/>
      <c r="AM5" s="1868"/>
      <c r="AN5" s="1868"/>
      <c r="AO5" s="1868"/>
      <c r="AP5" s="1868"/>
      <c r="AQ5" s="1868"/>
      <c r="AR5" s="1868"/>
      <c r="AS5" s="1868"/>
      <c r="AT5" s="1868"/>
      <c r="AU5" s="1868"/>
      <c r="AV5" s="1868"/>
      <c r="AW5" s="1868"/>
      <c r="AX5" s="1868"/>
      <c r="AY5" s="1868"/>
      <c r="AZ5" s="1868"/>
      <c r="BA5" s="1868"/>
      <c r="BB5" s="1868"/>
      <c r="BC5" s="1868"/>
      <c r="BD5" s="1868"/>
      <c r="BE5" s="1868"/>
      <c r="BF5" s="1868"/>
      <c r="BG5" s="1868"/>
      <c r="BH5" s="1868"/>
      <c r="BI5" s="1868"/>
      <c r="BJ5" s="1868"/>
      <c r="BK5" s="1868"/>
      <c r="BL5" s="1868"/>
      <c r="BM5" s="1868"/>
      <c r="BN5" s="1868"/>
      <c r="BO5" s="1868"/>
      <c r="BP5" s="1868"/>
      <c r="BQ5" s="1868"/>
      <c r="BR5" s="1868"/>
      <c r="BS5" s="1868"/>
    </row>
    <row r="6" spans="2:180" s="1788" customFormat="1" ht="18" customHeight="1">
      <c r="B6" s="856"/>
      <c r="E6" s="857"/>
      <c r="F6" s="1974" t="str">
        <f>IF(org=0,"Не определено",org)</f>
        <v>АО СЗ "КМАпроектжилстрой"</v>
      </c>
      <c r="G6" s="1975"/>
      <c r="H6" s="1975"/>
      <c r="I6" s="1975"/>
      <c r="J6" s="1975"/>
      <c r="K6" s="1975"/>
      <c r="L6" s="1975"/>
      <c r="M6" s="1975"/>
      <c r="N6" s="1975"/>
      <c r="O6" s="1975"/>
      <c r="P6" s="1975"/>
      <c r="Q6" s="1975"/>
      <c r="R6" s="1975"/>
      <c r="S6" s="1975"/>
      <c r="T6" s="1975"/>
      <c r="U6" s="1975"/>
      <c r="V6" s="1975"/>
      <c r="W6" s="1975"/>
      <c r="X6" s="1975"/>
      <c r="Y6" s="1975"/>
      <c r="Z6" s="1975"/>
      <c r="AA6" s="1975"/>
      <c r="AB6" s="1975"/>
      <c r="AC6" s="1975"/>
      <c r="AD6" s="1975"/>
      <c r="AE6" s="1975"/>
      <c r="AF6" s="1975"/>
      <c r="AG6" s="1975"/>
      <c r="AH6" s="1975"/>
      <c r="AI6" s="1975"/>
      <c r="AJ6" s="1975"/>
      <c r="AK6" s="1975"/>
      <c r="AL6" s="1975"/>
      <c r="AM6" s="1975"/>
      <c r="AN6" s="1975"/>
      <c r="AO6" s="1975"/>
      <c r="AP6" s="1975"/>
      <c r="AQ6" s="1975"/>
      <c r="AR6" s="1975"/>
      <c r="AS6" s="1975"/>
      <c r="AT6" s="1975"/>
      <c r="AU6" s="1975"/>
      <c r="AV6" s="1975"/>
      <c r="AW6" s="1975"/>
      <c r="AX6" s="1975"/>
      <c r="AY6" s="1975"/>
      <c r="AZ6" s="1975"/>
      <c r="BA6" s="1975"/>
      <c r="BB6" s="1975"/>
      <c r="BC6" s="1975"/>
      <c r="BD6" s="1975"/>
      <c r="BE6" s="1975"/>
      <c r="BF6" s="1975"/>
      <c r="BG6" s="1975"/>
      <c r="BH6" s="1975"/>
      <c r="BI6" s="1975"/>
      <c r="BJ6" s="1975"/>
      <c r="BK6" s="1975"/>
      <c r="BL6" s="1975"/>
      <c r="BM6" s="1975"/>
      <c r="BN6" s="1975"/>
      <c r="BO6" s="1975"/>
      <c r="BP6" s="1975"/>
      <c r="BQ6" s="1975"/>
      <c r="BR6" s="1975"/>
      <c r="BS6" s="1975"/>
    </row>
    <row r="7" spans="2:180" s="845" customFormat="1" ht="10.5" customHeight="1">
      <c r="B7" s="844"/>
      <c r="G7" s="847"/>
      <c r="H7" s="842"/>
      <c r="I7" s="842"/>
      <c r="J7" s="842"/>
      <c r="K7" s="842"/>
      <c r="L7" s="842"/>
    </row>
    <row r="8" spans="2:180" s="845" customFormat="1" ht="11.25" hidden="1" customHeight="1">
      <c r="B8" s="846"/>
      <c r="F8" s="964"/>
      <c r="G8" s="677"/>
      <c r="H8" s="281"/>
      <c r="I8" s="281"/>
      <c r="J8" s="281"/>
      <c r="K8" s="281"/>
      <c r="L8" s="281"/>
      <c r="M8" s="964"/>
      <c r="N8" s="964"/>
      <c r="O8" s="2228" t="s">
        <v>2009</v>
      </c>
      <c r="P8" s="2229"/>
      <c r="Q8" s="2229"/>
      <c r="R8" s="2229"/>
      <c r="S8" s="2229"/>
      <c r="T8" s="2229"/>
      <c r="U8" s="2229"/>
      <c r="V8" s="2229"/>
      <c r="W8" s="2229"/>
      <c r="X8" s="2229"/>
      <c r="Y8" s="2229"/>
      <c r="Z8" s="2229"/>
      <c r="AA8" s="2229"/>
      <c r="AB8" s="2229"/>
      <c r="AC8" s="2229"/>
      <c r="AD8" s="2229"/>
      <c r="AE8" s="2229"/>
      <c r="AF8" s="2229"/>
      <c r="AG8" s="2229"/>
      <c r="AH8" s="2229"/>
      <c r="AI8" s="2229"/>
      <c r="AJ8" s="2229"/>
      <c r="AK8" s="2229"/>
      <c r="AL8" s="2229"/>
      <c r="AM8" s="2229"/>
      <c r="AN8" s="2229"/>
      <c r="AO8" s="2229"/>
      <c r="AP8" s="2229"/>
      <c r="AQ8" s="2229"/>
      <c r="AR8" s="2229"/>
      <c r="AS8" s="2229"/>
      <c r="AT8" s="2229"/>
      <c r="AU8" s="2229"/>
      <c r="AV8" s="2229"/>
      <c r="AW8" s="2229"/>
      <c r="AX8" s="2229"/>
      <c r="AY8" s="2229"/>
      <c r="AZ8" s="2229"/>
      <c r="BA8" s="2229"/>
      <c r="BB8" s="2229"/>
      <c r="BC8" s="2229"/>
      <c r="BD8" s="2229"/>
      <c r="BE8" s="2229"/>
      <c r="BF8" s="2229"/>
      <c r="BG8" s="2229"/>
      <c r="BH8" s="2229"/>
      <c r="BI8" s="2229"/>
      <c r="BJ8" s="2229"/>
      <c r="BK8" s="2229"/>
      <c r="BL8" s="2229"/>
      <c r="BM8" s="2229"/>
      <c r="BN8" s="2229"/>
      <c r="BO8" s="2229"/>
      <c r="BP8" s="2229"/>
      <c r="BQ8" s="2229"/>
      <c r="BR8" s="2229"/>
      <c r="BS8" s="2230"/>
      <c r="BT8" s="2231"/>
      <c r="BU8" s="2232"/>
      <c r="BV8" s="2232"/>
      <c r="BW8" s="2232"/>
      <c r="BX8" s="2232"/>
      <c r="BY8" s="2232"/>
      <c r="BZ8" s="2232"/>
      <c r="CA8" s="2232"/>
      <c r="CB8" s="2232"/>
      <c r="CC8" s="2232"/>
      <c r="CD8" s="2232"/>
      <c r="CE8" s="2232"/>
      <c r="CF8" s="2232"/>
      <c r="CG8" s="2232"/>
      <c r="CH8" s="2232"/>
      <c r="CI8" s="2232"/>
      <c r="CJ8" s="2232"/>
      <c r="CK8" s="2232"/>
      <c r="CL8" s="2232"/>
      <c r="CM8" s="2232"/>
      <c r="CN8" s="2232"/>
      <c r="CO8" s="2232"/>
      <c r="CP8" s="2232"/>
      <c r="CQ8" s="2232"/>
      <c r="CR8" s="2232"/>
      <c r="CS8" s="2232"/>
      <c r="CT8" s="2232"/>
      <c r="CU8" s="2232"/>
      <c r="CV8" s="2232"/>
      <c r="CW8" s="2232"/>
      <c r="CX8" s="2233"/>
      <c r="CY8" s="2234"/>
      <c r="CZ8" s="2235"/>
      <c r="DA8" s="2235"/>
      <c r="DB8" s="2235"/>
      <c r="DC8" s="2235"/>
      <c r="DD8" s="2235"/>
      <c r="DE8" s="2235"/>
      <c r="DF8" s="2235"/>
      <c r="DG8" s="2235"/>
      <c r="DH8" s="2235"/>
      <c r="DI8" s="2235"/>
      <c r="DJ8" s="2235"/>
      <c r="DK8" s="2235"/>
      <c r="DL8" s="2235"/>
      <c r="DM8" s="2235"/>
      <c r="DN8" s="2235"/>
      <c r="DO8" s="2235"/>
      <c r="DP8" s="2235"/>
      <c r="DQ8" s="2235"/>
      <c r="DR8" s="2235"/>
      <c r="DS8" s="2235"/>
      <c r="DT8" s="2235"/>
      <c r="DU8" s="2235"/>
      <c r="DV8" s="2235"/>
      <c r="DW8" s="2235"/>
      <c r="DX8" s="2236"/>
      <c r="DY8" s="2222" t="s">
        <v>2010</v>
      </c>
      <c r="DZ8" s="2223"/>
      <c r="EA8" s="2223"/>
      <c r="EB8" s="2223"/>
      <c r="EC8" s="2223"/>
      <c r="ED8" s="2223"/>
      <c r="EE8" s="2223"/>
      <c r="EF8" s="2223"/>
      <c r="EG8" s="2223"/>
      <c r="EH8" s="2223"/>
      <c r="EI8" s="2223"/>
      <c r="EJ8" s="2223"/>
      <c r="EK8" s="2223"/>
      <c r="EL8" s="2223"/>
      <c r="EM8" s="2223"/>
      <c r="EN8" s="2223"/>
      <c r="EO8" s="2223"/>
      <c r="EP8" s="2223"/>
      <c r="EQ8" s="2223"/>
      <c r="ER8" s="2223"/>
      <c r="ES8" s="2223"/>
      <c r="ET8" s="2223"/>
      <c r="EU8" s="2223"/>
      <c r="EV8" s="2223"/>
      <c r="EW8" s="2223"/>
      <c r="EX8" s="2223"/>
      <c r="EY8" s="2223"/>
      <c r="EZ8" s="2223"/>
      <c r="FA8" s="2223"/>
      <c r="FB8" s="2223"/>
      <c r="FC8" s="2223"/>
      <c r="FD8" s="2223"/>
      <c r="FE8" s="2223"/>
      <c r="FF8" s="2223"/>
      <c r="FG8" s="2223"/>
      <c r="FH8" s="2223"/>
      <c r="FI8" s="2223"/>
      <c r="FJ8" s="2223"/>
      <c r="FK8" s="2223"/>
      <c r="FL8" s="2223"/>
      <c r="FM8" s="2223"/>
      <c r="FN8" s="2223"/>
      <c r="FO8" s="2223"/>
      <c r="FP8" s="2223"/>
      <c r="FQ8" s="2223"/>
      <c r="FR8" s="2223"/>
      <c r="FS8" s="2223"/>
      <c r="FT8" s="2223"/>
      <c r="FU8" s="2223"/>
      <c r="FV8" s="2223"/>
      <c r="FW8" s="2224"/>
      <c r="FX8" s="964"/>
    </row>
    <row r="9" spans="2:180" s="845" customFormat="1" ht="11.25" hidden="1" customHeight="1">
      <c r="B9" s="846"/>
      <c r="F9" s="964"/>
      <c r="G9" s="677"/>
      <c r="H9" s="281"/>
      <c r="I9" s="281"/>
      <c r="J9" s="281"/>
      <c r="K9" s="281"/>
      <c r="L9" s="281"/>
      <c r="M9" s="964"/>
      <c r="N9" s="964"/>
      <c r="O9" s="964"/>
      <c r="P9" s="964"/>
      <c r="Q9" s="964"/>
      <c r="R9" s="964"/>
      <c r="S9" s="964"/>
      <c r="T9" s="964"/>
      <c r="U9" s="964"/>
      <c r="V9" s="964"/>
      <c r="W9" s="964"/>
      <c r="X9" s="964"/>
      <c r="Y9" s="964"/>
      <c r="Z9" s="964"/>
      <c r="AA9" s="964"/>
      <c r="AB9" s="964"/>
      <c r="AC9" s="964"/>
      <c r="AD9" s="964"/>
      <c r="AE9" s="964"/>
      <c r="AF9" s="964"/>
      <c r="AG9" s="964"/>
      <c r="AH9" s="964"/>
      <c r="AI9" s="964"/>
      <c r="AJ9" s="964"/>
      <c r="AK9" s="964"/>
      <c r="AL9" s="964"/>
      <c r="AM9" s="964"/>
      <c r="AN9" s="964"/>
      <c r="AO9" s="964"/>
      <c r="AP9" s="964"/>
      <c r="AQ9" s="964"/>
      <c r="AR9" s="964"/>
      <c r="AS9" s="964"/>
      <c r="AT9" s="964"/>
      <c r="AU9" s="964"/>
      <c r="AV9" s="964"/>
      <c r="AW9" s="964"/>
      <c r="AX9" s="964"/>
      <c r="AY9" s="964"/>
      <c r="AZ9" s="964"/>
      <c r="BA9" s="964"/>
      <c r="BB9" s="964"/>
      <c r="BC9" s="964"/>
      <c r="BD9" s="964"/>
      <c r="BE9" s="964"/>
      <c r="BF9" s="964"/>
      <c r="BG9" s="964"/>
      <c r="BH9" s="964"/>
      <c r="BI9" s="964"/>
      <c r="BJ9" s="964"/>
      <c r="BK9" s="964"/>
      <c r="BL9" s="964"/>
      <c r="BM9" s="964"/>
      <c r="BN9" s="964"/>
      <c r="BO9" s="964"/>
      <c r="BP9" s="964"/>
      <c r="BQ9" s="964"/>
      <c r="BR9" s="964"/>
      <c r="BS9" s="964"/>
      <c r="BT9" s="964"/>
      <c r="BU9" s="964"/>
      <c r="BV9" s="964"/>
      <c r="BW9" s="964"/>
      <c r="BX9" s="964"/>
      <c r="BY9" s="964"/>
      <c r="BZ9" s="964"/>
      <c r="CA9" s="964"/>
      <c r="CB9" s="964"/>
      <c r="CC9" s="964"/>
      <c r="CD9" s="964"/>
      <c r="CE9" s="964"/>
      <c r="CF9" s="964"/>
      <c r="CG9" s="964"/>
      <c r="CH9" s="964"/>
      <c r="CI9" s="964"/>
      <c r="CJ9" s="964"/>
      <c r="CK9" s="964"/>
      <c r="CL9" s="964"/>
      <c r="CM9" s="964"/>
      <c r="CN9" s="964"/>
      <c r="CO9" s="964"/>
      <c r="CP9" s="964"/>
      <c r="CQ9" s="964"/>
      <c r="CR9" s="964"/>
      <c r="CS9" s="964"/>
      <c r="CT9" s="964"/>
      <c r="CU9" s="964"/>
      <c r="CV9" s="964"/>
      <c r="CW9" s="964"/>
      <c r="CX9" s="964"/>
      <c r="CY9" s="964"/>
      <c r="CZ9" s="964"/>
      <c r="DA9" s="964"/>
      <c r="DB9" s="964"/>
      <c r="DC9" s="964"/>
      <c r="DD9" s="964"/>
      <c r="DE9" s="964"/>
      <c r="DF9" s="964"/>
      <c r="DG9" s="964"/>
      <c r="DH9" s="964"/>
      <c r="DI9" s="964"/>
      <c r="DJ9" s="964"/>
      <c r="DK9" s="964"/>
      <c r="DL9" s="964"/>
      <c r="DM9" s="964"/>
      <c r="DN9" s="964"/>
      <c r="DO9" s="964"/>
      <c r="DP9" s="964"/>
      <c r="DQ9" s="964"/>
      <c r="DR9" s="964"/>
      <c r="DS9" s="964"/>
      <c r="DT9" s="964"/>
      <c r="DU9" s="964"/>
      <c r="DV9" s="964"/>
      <c r="DW9" s="964"/>
      <c r="DX9" s="964"/>
      <c r="DY9" s="964"/>
      <c r="DZ9" s="964"/>
      <c r="EA9" s="964"/>
      <c r="EB9" s="964"/>
      <c r="EC9" s="964"/>
      <c r="ED9" s="964"/>
      <c r="EE9" s="964"/>
      <c r="EF9" s="964"/>
      <c r="EG9" s="964"/>
      <c r="EH9" s="964"/>
      <c r="EI9" s="964"/>
      <c r="EJ9" s="964"/>
      <c r="EK9" s="964"/>
      <c r="EL9" s="964"/>
      <c r="EM9" s="964"/>
      <c r="EN9" s="964"/>
      <c r="EO9" s="964"/>
      <c r="EP9" s="964"/>
      <c r="EQ9" s="964"/>
      <c r="ER9" s="964"/>
      <c r="ES9" s="964"/>
      <c r="ET9" s="964"/>
      <c r="EU9" s="964"/>
      <c r="EV9" s="964"/>
      <c r="EW9" s="964"/>
      <c r="EX9" s="964"/>
      <c r="EY9" s="964"/>
      <c r="EZ9" s="964"/>
      <c r="FA9" s="964"/>
      <c r="FB9" s="964"/>
      <c r="FC9" s="964"/>
      <c r="FD9" s="964"/>
      <c r="FE9" s="964"/>
      <c r="FF9" s="964"/>
      <c r="FG9" s="964"/>
      <c r="FH9" s="964"/>
      <c r="FI9" s="964"/>
      <c r="FJ9" s="964"/>
      <c r="FK9" s="964"/>
      <c r="FL9" s="964"/>
      <c r="FM9" s="964"/>
      <c r="FN9" s="964"/>
      <c r="FO9" s="964"/>
      <c r="FP9" s="964"/>
      <c r="FQ9" s="964"/>
      <c r="FR9" s="964"/>
      <c r="FS9" s="964"/>
      <c r="FT9" s="964"/>
      <c r="FU9" s="964"/>
      <c r="FV9" s="964"/>
      <c r="FW9" s="2225"/>
      <c r="FX9" s="964"/>
    </row>
    <row r="10" spans="2:180" s="845" customFormat="1" ht="11.25" customHeight="1">
      <c r="B10" s="846"/>
      <c r="F10" s="2204" t="s">
        <v>291</v>
      </c>
      <c r="G10" s="2238"/>
      <c r="H10" s="2238"/>
      <c r="I10" s="2238"/>
      <c r="J10" s="2238"/>
      <c r="K10" s="2238"/>
      <c r="L10" s="2238"/>
      <c r="M10" s="2238"/>
      <c r="N10" s="2238"/>
      <c r="O10" s="2238"/>
      <c r="P10" s="2238"/>
      <c r="Q10" s="2238"/>
      <c r="R10" s="2238"/>
      <c r="S10" s="2238"/>
      <c r="T10" s="2238"/>
      <c r="U10" s="2238"/>
      <c r="V10" s="2238"/>
      <c r="W10" s="2238"/>
      <c r="X10" s="2238"/>
      <c r="Y10" s="2238"/>
      <c r="Z10" s="2238"/>
      <c r="AA10" s="2238"/>
      <c r="AB10" s="2238"/>
      <c r="AC10" s="2238"/>
      <c r="AD10" s="2238"/>
      <c r="AE10" s="2238"/>
      <c r="AF10" s="2238"/>
      <c r="AG10" s="2238"/>
      <c r="AH10" s="2238"/>
      <c r="AI10" s="2238"/>
      <c r="AJ10" s="2238"/>
      <c r="AK10" s="2238"/>
      <c r="AL10" s="2238"/>
      <c r="AM10" s="2238"/>
      <c r="AN10" s="2238"/>
      <c r="AO10" s="2238"/>
      <c r="AP10" s="2238"/>
      <c r="AQ10" s="2238"/>
      <c r="AR10" s="2238"/>
      <c r="AS10" s="2238"/>
      <c r="AT10" s="2238"/>
      <c r="AU10" s="2238"/>
      <c r="AV10" s="2238"/>
      <c r="AW10" s="2238"/>
      <c r="AX10" s="2238"/>
      <c r="AY10" s="2238"/>
      <c r="AZ10" s="2238"/>
      <c r="BA10" s="2238"/>
      <c r="BB10" s="2238"/>
      <c r="BC10" s="2238"/>
      <c r="BD10" s="2238"/>
      <c r="BE10" s="2238"/>
      <c r="BF10" s="2238"/>
      <c r="BG10" s="2238"/>
      <c r="BH10" s="2238"/>
      <c r="BI10" s="2238"/>
      <c r="BJ10" s="2238"/>
      <c r="BK10" s="2238"/>
      <c r="BL10" s="2238"/>
      <c r="BM10" s="2238"/>
      <c r="BN10" s="2238"/>
      <c r="BO10" s="2238"/>
      <c r="BP10" s="2238"/>
      <c r="BQ10" s="2238"/>
      <c r="BR10" s="2238"/>
      <c r="BS10" s="2238"/>
      <c r="BT10" s="2238"/>
      <c r="BU10" s="2238"/>
      <c r="BV10" s="2238"/>
      <c r="BW10" s="2238"/>
      <c r="BX10" s="2238"/>
      <c r="BY10" s="2238"/>
      <c r="BZ10" s="2238"/>
      <c r="CA10" s="2238"/>
      <c r="CB10" s="2238"/>
      <c r="CC10" s="2238"/>
      <c r="CD10" s="2238"/>
      <c r="CE10" s="2238"/>
      <c r="CF10" s="2238"/>
      <c r="CG10" s="2238"/>
      <c r="CH10" s="2238"/>
      <c r="CI10" s="2238"/>
      <c r="CJ10" s="2238"/>
      <c r="CK10" s="2238"/>
      <c r="CL10" s="2238"/>
      <c r="CM10" s="2238"/>
      <c r="CN10" s="2238"/>
      <c r="CO10" s="2238"/>
      <c r="CP10" s="2238"/>
      <c r="CQ10" s="2238"/>
      <c r="CR10" s="2238"/>
      <c r="CS10" s="2238"/>
      <c r="CT10" s="2238"/>
      <c r="CU10" s="2238"/>
      <c r="CV10" s="2238"/>
      <c r="CW10" s="2238"/>
      <c r="CX10" s="2238"/>
      <c r="CY10" s="2238"/>
      <c r="CZ10" s="2238"/>
      <c r="DA10" s="2238"/>
      <c r="DB10" s="2238"/>
      <c r="DC10" s="2238"/>
      <c r="DD10" s="2238"/>
      <c r="DE10" s="2238"/>
      <c r="DF10" s="2238"/>
      <c r="DG10" s="2238"/>
      <c r="DH10" s="2238"/>
      <c r="DI10" s="2238"/>
      <c r="DJ10" s="2238"/>
      <c r="DK10" s="2238"/>
      <c r="DL10" s="2238"/>
      <c r="DM10" s="2238"/>
      <c r="DN10" s="2238"/>
      <c r="DO10" s="2238"/>
      <c r="DP10" s="2238"/>
      <c r="DQ10" s="2238"/>
      <c r="DR10" s="2238"/>
      <c r="DS10" s="2238"/>
      <c r="DT10" s="2238"/>
      <c r="DU10" s="2238"/>
      <c r="DV10" s="2238"/>
      <c r="DW10" s="2238"/>
      <c r="DX10" s="2238"/>
      <c r="DY10" s="2238"/>
      <c r="DZ10" s="2238"/>
      <c r="EA10" s="2238"/>
      <c r="EB10" s="2238"/>
      <c r="EC10" s="2238"/>
      <c r="ED10" s="2238"/>
      <c r="EE10" s="2238"/>
      <c r="EF10" s="2238"/>
      <c r="EG10" s="2238"/>
      <c r="EH10" s="2238"/>
      <c r="EI10" s="2238"/>
      <c r="EJ10" s="2238"/>
      <c r="EK10" s="2238"/>
      <c r="EL10" s="2238"/>
      <c r="EM10" s="2238"/>
      <c r="EN10" s="2238"/>
      <c r="EO10" s="2238"/>
      <c r="EP10" s="2238"/>
      <c r="EQ10" s="2238"/>
      <c r="ER10" s="2238"/>
      <c r="ES10" s="2238"/>
      <c r="ET10" s="2238"/>
      <c r="EU10" s="2238"/>
      <c r="EV10" s="2238"/>
      <c r="EW10" s="2238"/>
      <c r="EX10" s="2238"/>
      <c r="EY10" s="2238"/>
      <c r="EZ10" s="2238"/>
      <c r="FA10" s="2238"/>
      <c r="FB10" s="2238"/>
      <c r="FC10" s="2238"/>
      <c r="FD10" s="2238"/>
      <c r="FE10" s="2238"/>
      <c r="FF10" s="2238"/>
      <c r="FG10" s="2238"/>
      <c r="FH10" s="2238"/>
      <c r="FI10" s="2238"/>
      <c r="FJ10" s="2238"/>
      <c r="FK10" s="2238"/>
      <c r="FL10" s="2238"/>
      <c r="FM10" s="2238"/>
      <c r="FN10" s="2238"/>
      <c r="FO10" s="2238"/>
      <c r="FP10" s="2238"/>
      <c r="FQ10" s="2238"/>
      <c r="FR10" s="2238"/>
      <c r="FS10" s="2238"/>
      <c r="FT10" s="2238"/>
      <c r="FU10" s="2238"/>
      <c r="FV10" s="1998"/>
      <c r="FW10" s="2225"/>
      <c r="FX10" s="964"/>
    </row>
    <row r="11" spans="2:180" ht="12" customHeight="1">
      <c r="E11" s="849"/>
      <c r="F11" s="1954" t="s">
        <v>88</v>
      </c>
      <c r="G11" s="1954" t="s">
        <v>2011</v>
      </c>
      <c r="H11" s="1954" t="s">
        <v>2012</v>
      </c>
      <c r="I11" s="1954" t="s">
        <v>2013</v>
      </c>
      <c r="J11" s="2237"/>
      <c r="K11" s="2237"/>
      <c r="L11" s="2237"/>
      <c r="M11" s="2237"/>
      <c r="N11" s="2237"/>
      <c r="O11" s="1959" t="s">
        <v>2014</v>
      </c>
      <c r="P11" s="1959"/>
      <c r="Q11" s="1959"/>
      <c r="R11" s="1959"/>
      <c r="S11" s="1959"/>
      <c r="T11" s="1959"/>
      <c r="U11" s="1959"/>
      <c r="V11" s="1959"/>
      <c r="W11" s="1959"/>
      <c r="X11" s="1959"/>
      <c r="Y11" s="1959"/>
      <c r="Z11" s="1959"/>
      <c r="AA11" s="1959"/>
      <c r="AB11" s="1959"/>
      <c r="AC11" s="2220"/>
      <c r="AD11" s="2220"/>
      <c r="AE11" s="2220"/>
      <c r="AF11" s="2220"/>
      <c r="AG11" s="2220"/>
      <c r="AH11" s="2220"/>
      <c r="AI11" s="2220"/>
      <c r="AJ11" s="2220"/>
      <c r="AK11" s="2220"/>
      <c r="AL11" s="2220"/>
      <c r="AM11" s="2220"/>
      <c r="AN11" s="2220"/>
      <c r="AO11" s="2220"/>
      <c r="AP11" s="2220"/>
      <c r="AQ11" s="2220"/>
      <c r="AR11" s="2220"/>
      <c r="AS11" s="2220"/>
      <c r="AT11" s="2220"/>
      <c r="AU11" s="2220"/>
      <c r="AV11" s="2220"/>
      <c r="AW11" s="2220"/>
      <c r="AX11" s="2220"/>
      <c r="AY11" s="2220"/>
      <c r="AZ11" s="2220"/>
      <c r="BA11" s="2220"/>
      <c r="BB11" s="2220"/>
      <c r="BC11" s="2220"/>
      <c r="BD11" s="2220"/>
      <c r="BE11" s="2220"/>
      <c r="BF11" s="2220"/>
      <c r="BG11" s="2220"/>
      <c r="BH11" s="2220"/>
      <c r="BI11" s="2220"/>
      <c r="BJ11" s="2220"/>
      <c r="BK11" s="2220"/>
      <c r="BL11" s="2220"/>
      <c r="BM11" s="2220"/>
      <c r="BN11" s="2220"/>
      <c r="BO11" s="2220"/>
      <c r="BP11" s="2220"/>
      <c r="BQ11" s="2220"/>
      <c r="BR11" s="2220"/>
      <c r="BS11" s="2221"/>
      <c r="BT11" s="2171" t="s">
        <v>2014</v>
      </c>
      <c r="BU11" s="2172"/>
      <c r="BV11" s="2172"/>
      <c r="BW11" s="2172"/>
      <c r="BX11" s="2172"/>
      <c r="BY11" s="2172"/>
      <c r="BZ11" s="2172"/>
      <c r="CA11" s="2172"/>
      <c r="CB11" s="2172"/>
      <c r="CC11" s="2172"/>
      <c r="CD11" s="2172"/>
      <c r="CE11" s="2172"/>
      <c r="CF11" s="2172"/>
      <c r="CG11" s="2172"/>
      <c r="CH11" s="2172"/>
      <c r="CI11" s="2172"/>
      <c r="CJ11" s="2172"/>
      <c r="CK11" s="2173"/>
      <c r="CL11" s="2227"/>
      <c r="CM11" s="2220"/>
      <c r="CN11" s="2220"/>
      <c r="CO11" s="2220"/>
      <c r="CP11" s="2220"/>
      <c r="CQ11" s="2220"/>
      <c r="CR11" s="2220"/>
      <c r="CS11" s="2220"/>
      <c r="CT11" s="2220"/>
      <c r="CU11" s="2220"/>
      <c r="CV11" s="2220"/>
      <c r="CW11" s="2220"/>
      <c r="CX11" s="2221"/>
      <c r="CY11" s="2171" t="s">
        <v>2014</v>
      </c>
      <c r="CZ11" s="2172"/>
      <c r="DA11" s="2172"/>
      <c r="DB11" s="2172"/>
      <c r="DC11" s="2172"/>
      <c r="DD11" s="2172"/>
      <c r="DE11" s="2172"/>
      <c r="DF11" s="2172"/>
      <c r="DG11" s="2172"/>
      <c r="DH11" s="2172"/>
      <c r="DI11" s="2172"/>
      <c r="DJ11" s="2173"/>
      <c r="DK11" s="2227"/>
      <c r="DL11" s="2220"/>
      <c r="DM11" s="2220"/>
      <c r="DN11" s="2220"/>
      <c r="DO11" s="2220"/>
      <c r="DP11" s="2220"/>
      <c r="DQ11" s="2220"/>
      <c r="DR11" s="2220"/>
      <c r="DS11" s="2220"/>
      <c r="DT11" s="2220"/>
      <c r="DU11" s="2220"/>
      <c r="DV11" s="2220"/>
      <c r="DW11" s="2220"/>
      <c r="DX11" s="2220"/>
      <c r="DY11" s="2220"/>
      <c r="DZ11" s="2220"/>
      <c r="EA11" s="2220"/>
      <c r="EB11" s="2220"/>
      <c r="EC11" s="2220"/>
      <c r="ED11" s="2220"/>
      <c r="EE11" s="2220"/>
      <c r="EF11" s="2220"/>
      <c r="EG11" s="2220"/>
      <c r="EH11" s="2220"/>
      <c r="EI11" s="2220"/>
      <c r="EJ11" s="2220"/>
      <c r="EK11" s="2220"/>
      <c r="EL11" s="2220"/>
      <c r="EM11" s="2220"/>
      <c r="EN11" s="2220"/>
      <c r="EO11" s="2220"/>
      <c r="EP11" s="2220"/>
      <c r="EQ11" s="2220"/>
      <c r="ER11" s="2220"/>
      <c r="ES11" s="2220"/>
      <c r="ET11" s="2220"/>
      <c r="EU11" s="2220"/>
      <c r="EV11" s="2220"/>
      <c r="EW11" s="2220"/>
      <c r="EX11" s="2220"/>
      <c r="EY11" s="2220"/>
      <c r="EZ11" s="2220"/>
      <c r="FA11" s="2220"/>
      <c r="FB11" s="2220"/>
      <c r="FC11" s="2220"/>
      <c r="FD11" s="2220"/>
      <c r="FE11" s="2220"/>
      <c r="FF11" s="2220"/>
      <c r="FG11" s="2220"/>
      <c r="FH11" s="2220"/>
      <c r="FI11" s="2220"/>
      <c r="FJ11" s="2220"/>
      <c r="FK11" s="2220"/>
      <c r="FL11" s="2220"/>
      <c r="FM11" s="2220"/>
      <c r="FN11" s="2220"/>
      <c r="FO11" s="2220"/>
      <c r="FP11" s="2220"/>
      <c r="FQ11" s="2220"/>
      <c r="FR11" s="2220"/>
      <c r="FS11" s="2220"/>
      <c r="FT11" s="2220"/>
      <c r="FU11" s="2220"/>
      <c r="FV11" s="2220"/>
      <c r="FW11" s="2225"/>
      <c r="FX11" s="676"/>
    </row>
    <row r="12" spans="2:180" ht="12" customHeight="1">
      <c r="D12" s="850"/>
      <c r="E12" s="849"/>
      <c r="F12" s="1954"/>
      <c r="G12" s="1954"/>
      <c r="H12" s="1954"/>
      <c r="I12" s="1954"/>
      <c r="J12" s="2237"/>
      <c r="K12" s="2237"/>
      <c r="L12" s="2237"/>
      <c r="M12" s="2237"/>
      <c r="N12" s="2237"/>
      <c r="O12" s="1959" t="s">
        <v>2015</v>
      </c>
      <c r="P12" s="1959"/>
      <c r="Q12" s="1959"/>
      <c r="R12" s="1959"/>
      <c r="S12" s="1959" t="s">
        <v>2016</v>
      </c>
      <c r="T12" s="1959"/>
      <c r="U12" s="1959"/>
      <c r="V12" s="1959"/>
      <c r="W12" s="1959"/>
      <c r="X12" s="1959"/>
      <c r="Y12" s="1959"/>
      <c r="Z12" s="1959"/>
      <c r="AA12" s="1959"/>
      <c r="AB12" s="1959"/>
      <c r="AC12" s="2220"/>
      <c r="AD12" s="2220"/>
      <c r="AE12" s="2220"/>
      <c r="AF12" s="2220"/>
      <c r="AG12" s="2220"/>
      <c r="AH12" s="2220"/>
      <c r="AI12" s="2220"/>
      <c r="AJ12" s="2220"/>
      <c r="AK12" s="2220"/>
      <c r="AL12" s="2220"/>
      <c r="AM12" s="2220"/>
      <c r="AN12" s="2220"/>
      <c r="AO12" s="2220"/>
      <c r="AP12" s="2220"/>
      <c r="AQ12" s="2220"/>
      <c r="AR12" s="2220"/>
      <c r="AS12" s="2220"/>
      <c r="AT12" s="2220"/>
      <c r="AU12" s="2220"/>
      <c r="AV12" s="2220"/>
      <c r="AW12" s="2220"/>
      <c r="AX12" s="2220"/>
      <c r="AY12" s="2220"/>
      <c r="AZ12" s="2220"/>
      <c r="BA12" s="2220"/>
      <c r="BB12" s="2220"/>
      <c r="BC12" s="2220"/>
      <c r="BD12" s="2220"/>
      <c r="BE12" s="2220"/>
      <c r="BF12" s="2220"/>
      <c r="BG12" s="2220"/>
      <c r="BH12" s="2220"/>
      <c r="BI12" s="2220"/>
      <c r="BJ12" s="2220"/>
      <c r="BK12" s="2220"/>
      <c r="BL12" s="2220"/>
      <c r="BM12" s="2220"/>
      <c r="BN12" s="2220"/>
      <c r="BO12" s="2220"/>
      <c r="BP12" s="2220"/>
      <c r="BQ12" s="2220"/>
      <c r="BR12" s="2220"/>
      <c r="BS12" s="2221"/>
      <c r="BT12" s="2171" t="s">
        <v>2017</v>
      </c>
      <c r="BU12" s="2172"/>
      <c r="BV12" s="2172"/>
      <c r="BW12" s="2173"/>
      <c r="BX12" s="2171" t="s">
        <v>2018</v>
      </c>
      <c r="BY12" s="2172"/>
      <c r="BZ12" s="2172"/>
      <c r="CA12" s="2173"/>
      <c r="CB12" s="2171" t="s">
        <v>2019</v>
      </c>
      <c r="CC12" s="2173"/>
      <c r="CD12" s="2171" t="s">
        <v>2020</v>
      </c>
      <c r="CE12" s="2172"/>
      <c r="CF12" s="2172"/>
      <c r="CG12" s="2172"/>
      <c r="CH12" s="2172"/>
      <c r="CI12" s="2172"/>
      <c r="CJ12" s="2172"/>
      <c r="CK12" s="2173"/>
      <c r="CL12" s="2227"/>
      <c r="CM12" s="2220"/>
      <c r="CN12" s="2220"/>
      <c r="CO12" s="2220"/>
      <c r="CP12" s="2220"/>
      <c r="CQ12" s="2220"/>
      <c r="CR12" s="2220"/>
      <c r="CS12" s="2220"/>
      <c r="CT12" s="2220"/>
      <c r="CU12" s="2220"/>
      <c r="CV12" s="2220"/>
      <c r="CW12" s="2220"/>
      <c r="CX12" s="2221"/>
      <c r="CY12" s="2171" t="s">
        <v>2021</v>
      </c>
      <c r="CZ12" s="2172"/>
      <c r="DA12" s="2172"/>
      <c r="DB12" s="2172"/>
      <c r="DC12" s="2172"/>
      <c r="DD12" s="2173"/>
      <c r="DE12" s="2171" t="s">
        <v>2022</v>
      </c>
      <c r="DF12" s="2173"/>
      <c r="DG12" s="2171" t="s">
        <v>2020</v>
      </c>
      <c r="DH12" s="2172"/>
      <c r="DI12" s="2172"/>
      <c r="DJ12" s="2173"/>
      <c r="DK12" s="2227"/>
      <c r="DL12" s="2220"/>
      <c r="DM12" s="2220"/>
      <c r="DN12" s="2220"/>
      <c r="DO12" s="2220"/>
      <c r="DP12" s="2220"/>
      <c r="DQ12" s="2220"/>
      <c r="DR12" s="2220"/>
      <c r="DS12" s="2220"/>
      <c r="DT12" s="2220"/>
      <c r="DU12" s="2220"/>
      <c r="DV12" s="2220"/>
      <c r="DW12" s="2220"/>
      <c r="DX12" s="2220"/>
      <c r="DY12" s="2220"/>
      <c r="DZ12" s="2220"/>
      <c r="EA12" s="2220"/>
      <c r="EB12" s="2220"/>
      <c r="EC12" s="2220"/>
      <c r="ED12" s="2220"/>
      <c r="EE12" s="2220"/>
      <c r="EF12" s="2220"/>
      <c r="EG12" s="2220"/>
      <c r="EH12" s="2220"/>
      <c r="EI12" s="2220"/>
      <c r="EJ12" s="2220"/>
      <c r="EK12" s="2220"/>
      <c r="EL12" s="2220"/>
      <c r="EM12" s="2220"/>
      <c r="EN12" s="2220"/>
      <c r="EO12" s="2220"/>
      <c r="EP12" s="2220"/>
      <c r="EQ12" s="2220"/>
      <c r="ER12" s="2220"/>
      <c r="ES12" s="2220"/>
      <c r="ET12" s="2220"/>
      <c r="EU12" s="2220"/>
      <c r="EV12" s="2220"/>
      <c r="EW12" s="2220"/>
      <c r="EX12" s="2220"/>
      <c r="EY12" s="2220"/>
      <c r="EZ12" s="2220"/>
      <c r="FA12" s="2220"/>
      <c r="FB12" s="2220"/>
      <c r="FC12" s="2220"/>
      <c r="FD12" s="2220"/>
      <c r="FE12" s="2220"/>
      <c r="FF12" s="2220"/>
      <c r="FG12" s="2220"/>
      <c r="FH12" s="2220"/>
      <c r="FI12" s="2220"/>
      <c r="FJ12" s="2220"/>
      <c r="FK12" s="2220"/>
      <c r="FL12" s="2220"/>
      <c r="FM12" s="2220"/>
      <c r="FN12" s="2220"/>
      <c r="FO12" s="2220"/>
      <c r="FP12" s="2220"/>
      <c r="FQ12" s="2220"/>
      <c r="FR12" s="2220"/>
      <c r="FS12" s="2220"/>
      <c r="FT12" s="2220"/>
      <c r="FU12" s="2220"/>
      <c r="FV12" s="2220"/>
      <c r="FW12" s="2225"/>
      <c r="FX12" s="676"/>
    </row>
    <row r="13" spans="2:180" ht="36" customHeight="1">
      <c r="D13" s="850"/>
      <c r="E13" s="849"/>
      <c r="F13" s="1954"/>
      <c r="G13" s="1954"/>
      <c r="H13" s="1954"/>
      <c r="I13" s="1954"/>
      <c r="J13" s="2237"/>
      <c r="K13" s="2237"/>
      <c r="L13" s="2237"/>
      <c r="M13" s="2237"/>
      <c r="N13" s="2237"/>
      <c r="O13" s="1959" t="s">
        <v>2023</v>
      </c>
      <c r="P13" s="1959"/>
      <c r="Q13" s="1959"/>
      <c r="R13" s="1959"/>
      <c r="S13" s="2131" t="s">
        <v>2024</v>
      </c>
      <c r="T13" s="2206"/>
      <c r="U13" s="1874" t="s">
        <v>2025</v>
      </c>
      <c r="V13" s="1874"/>
      <c r="W13" s="1874"/>
      <c r="X13" s="1874"/>
      <c r="Y13" s="1874" t="s">
        <v>2026</v>
      </c>
      <c r="Z13" s="1874"/>
      <c r="AA13" s="1874"/>
      <c r="AB13" s="1874"/>
      <c r="AC13" s="2220"/>
      <c r="AD13" s="2220"/>
      <c r="AE13" s="2220"/>
      <c r="AF13" s="2220"/>
      <c r="AG13" s="2220"/>
      <c r="AH13" s="2220"/>
      <c r="AI13" s="2220"/>
      <c r="AJ13" s="2220"/>
      <c r="AK13" s="2220"/>
      <c r="AL13" s="2220"/>
      <c r="AM13" s="2220"/>
      <c r="AN13" s="2220"/>
      <c r="AO13" s="2220"/>
      <c r="AP13" s="2220"/>
      <c r="AQ13" s="2220"/>
      <c r="AR13" s="2220"/>
      <c r="AS13" s="2220"/>
      <c r="AT13" s="2220"/>
      <c r="AU13" s="2220"/>
      <c r="AV13" s="2220"/>
      <c r="AW13" s="2220"/>
      <c r="AX13" s="2220"/>
      <c r="AY13" s="2220"/>
      <c r="AZ13" s="2220"/>
      <c r="BA13" s="2220"/>
      <c r="BB13" s="2220"/>
      <c r="BC13" s="2220"/>
      <c r="BD13" s="2220"/>
      <c r="BE13" s="2220"/>
      <c r="BF13" s="2220"/>
      <c r="BG13" s="2220"/>
      <c r="BH13" s="2220"/>
      <c r="BI13" s="2220"/>
      <c r="BJ13" s="2220"/>
      <c r="BK13" s="2220"/>
      <c r="BL13" s="2220"/>
      <c r="BM13" s="2220"/>
      <c r="BN13" s="2220"/>
      <c r="BO13" s="2220"/>
      <c r="BP13" s="2220"/>
      <c r="BQ13" s="2220"/>
      <c r="BR13" s="2220"/>
      <c r="BS13" s="2221"/>
      <c r="BT13" s="2131" t="s">
        <v>2027</v>
      </c>
      <c r="BU13" s="2206"/>
      <c r="BV13" s="2131" t="s">
        <v>2028</v>
      </c>
      <c r="BW13" s="2206"/>
      <c r="BX13" s="2131" t="s">
        <v>2029</v>
      </c>
      <c r="BY13" s="2206"/>
      <c r="BZ13" s="2131" t="s">
        <v>2030</v>
      </c>
      <c r="CA13" s="2206"/>
      <c r="CB13" s="2131" t="s">
        <v>2031</v>
      </c>
      <c r="CC13" s="2206"/>
      <c r="CD13" s="2131" t="s">
        <v>2032</v>
      </c>
      <c r="CE13" s="2206"/>
      <c r="CF13" s="2131" t="s">
        <v>2033</v>
      </c>
      <c r="CG13" s="2206"/>
      <c r="CH13" s="2171" t="s">
        <v>2034</v>
      </c>
      <c r="CI13" s="2172"/>
      <c r="CJ13" s="2172"/>
      <c r="CK13" s="2173"/>
      <c r="CL13" s="2227"/>
      <c r="CM13" s="2220"/>
      <c r="CN13" s="2220"/>
      <c r="CO13" s="2220"/>
      <c r="CP13" s="2220"/>
      <c r="CQ13" s="2220"/>
      <c r="CR13" s="2220"/>
      <c r="CS13" s="2220"/>
      <c r="CT13" s="2220"/>
      <c r="CU13" s="2220"/>
      <c r="CV13" s="2220"/>
      <c r="CW13" s="2220"/>
      <c r="CX13" s="2221"/>
      <c r="CY13" s="2131" t="s">
        <v>2035</v>
      </c>
      <c r="CZ13" s="2206"/>
      <c r="DA13" s="2131" t="s">
        <v>2036</v>
      </c>
      <c r="DB13" s="2206"/>
      <c r="DC13" s="2131" t="s">
        <v>2037</v>
      </c>
      <c r="DD13" s="2206"/>
      <c r="DE13" s="2131" t="s">
        <v>2038</v>
      </c>
      <c r="DF13" s="2206"/>
      <c r="DG13" s="2171" t="s">
        <v>2039</v>
      </c>
      <c r="DH13" s="2172"/>
      <c r="DI13" s="2172"/>
      <c r="DJ13" s="2173"/>
      <c r="DK13" s="2227"/>
      <c r="DL13" s="2220"/>
      <c r="DM13" s="2220"/>
      <c r="DN13" s="2220"/>
      <c r="DO13" s="2220"/>
      <c r="DP13" s="2220"/>
      <c r="DQ13" s="2220"/>
      <c r="DR13" s="2220"/>
      <c r="DS13" s="2220"/>
      <c r="DT13" s="2220"/>
      <c r="DU13" s="2220"/>
      <c r="DV13" s="2220"/>
      <c r="DW13" s="2220"/>
      <c r="DX13" s="2220"/>
      <c r="DY13" s="2220"/>
      <c r="DZ13" s="2220"/>
      <c r="EA13" s="2220"/>
      <c r="EB13" s="2220"/>
      <c r="EC13" s="2220"/>
      <c r="ED13" s="2220"/>
      <c r="EE13" s="2220"/>
      <c r="EF13" s="2220"/>
      <c r="EG13" s="2220"/>
      <c r="EH13" s="2220"/>
      <c r="EI13" s="2220"/>
      <c r="EJ13" s="2220"/>
      <c r="EK13" s="2220"/>
      <c r="EL13" s="2220"/>
      <c r="EM13" s="2220"/>
      <c r="EN13" s="2220"/>
      <c r="EO13" s="2220"/>
      <c r="EP13" s="2220"/>
      <c r="EQ13" s="2220"/>
      <c r="ER13" s="2220"/>
      <c r="ES13" s="2220"/>
      <c r="ET13" s="2220"/>
      <c r="EU13" s="2220"/>
      <c r="EV13" s="2220"/>
      <c r="EW13" s="2220"/>
      <c r="EX13" s="2220"/>
      <c r="EY13" s="2220"/>
      <c r="EZ13" s="2220"/>
      <c r="FA13" s="2220"/>
      <c r="FB13" s="2220"/>
      <c r="FC13" s="2220"/>
      <c r="FD13" s="2220"/>
      <c r="FE13" s="2220"/>
      <c r="FF13" s="2220"/>
      <c r="FG13" s="2220"/>
      <c r="FH13" s="2220"/>
      <c r="FI13" s="2220"/>
      <c r="FJ13" s="2220"/>
      <c r="FK13" s="2220"/>
      <c r="FL13" s="2220"/>
      <c r="FM13" s="2220"/>
      <c r="FN13" s="2220"/>
      <c r="FO13" s="2220"/>
      <c r="FP13" s="2220"/>
      <c r="FQ13" s="2220"/>
      <c r="FR13" s="2220"/>
      <c r="FS13" s="2220"/>
      <c r="FT13" s="2220"/>
      <c r="FU13" s="2220"/>
      <c r="FV13" s="2220"/>
      <c r="FW13" s="2225"/>
      <c r="FX13" s="676"/>
    </row>
    <row r="14" spans="2:180" ht="36" customHeight="1">
      <c r="D14" s="850"/>
      <c r="E14" s="849"/>
      <c r="F14" s="1954"/>
      <c r="G14" s="1954"/>
      <c r="H14" s="1954"/>
      <c r="I14" s="1954"/>
      <c r="J14" s="2237"/>
      <c r="K14" s="2237"/>
      <c r="L14" s="2237"/>
      <c r="M14" s="2237"/>
      <c r="N14" s="2237"/>
      <c r="O14" s="2131" t="s">
        <v>2040</v>
      </c>
      <c r="P14" s="2206"/>
      <c r="Q14" s="2131" t="s">
        <v>2041</v>
      </c>
      <c r="R14" s="2206"/>
      <c r="S14" s="2132"/>
      <c r="T14" s="1960"/>
      <c r="U14" s="2131" t="s">
        <v>1828</v>
      </c>
      <c r="V14" s="2206"/>
      <c r="W14" s="2131" t="s">
        <v>1831</v>
      </c>
      <c r="X14" s="2206"/>
      <c r="Y14" s="2131" t="s">
        <v>1828</v>
      </c>
      <c r="Z14" s="2206"/>
      <c r="AA14" s="2131" t="s">
        <v>1838</v>
      </c>
      <c r="AB14" s="2206"/>
      <c r="AC14" s="2220"/>
      <c r="AD14" s="2220"/>
      <c r="AE14" s="2220"/>
      <c r="AF14" s="2220"/>
      <c r="AG14" s="2220"/>
      <c r="AH14" s="2220"/>
      <c r="AI14" s="2220"/>
      <c r="AJ14" s="2220"/>
      <c r="AK14" s="2220"/>
      <c r="AL14" s="2220"/>
      <c r="AM14" s="2220"/>
      <c r="AN14" s="2220"/>
      <c r="AO14" s="2220"/>
      <c r="AP14" s="2220"/>
      <c r="AQ14" s="2220"/>
      <c r="AR14" s="2220"/>
      <c r="AS14" s="2220"/>
      <c r="AT14" s="2220"/>
      <c r="AU14" s="2220"/>
      <c r="AV14" s="2220"/>
      <c r="AW14" s="2220"/>
      <c r="AX14" s="2220"/>
      <c r="AY14" s="2220"/>
      <c r="AZ14" s="2220"/>
      <c r="BA14" s="2220"/>
      <c r="BB14" s="2220"/>
      <c r="BC14" s="2220"/>
      <c r="BD14" s="2220"/>
      <c r="BE14" s="2220"/>
      <c r="BF14" s="2220"/>
      <c r="BG14" s="2220"/>
      <c r="BH14" s="2220"/>
      <c r="BI14" s="2220"/>
      <c r="BJ14" s="2220"/>
      <c r="BK14" s="2220"/>
      <c r="BL14" s="2220"/>
      <c r="BM14" s="2220"/>
      <c r="BN14" s="2220"/>
      <c r="BO14" s="2220"/>
      <c r="BP14" s="2220"/>
      <c r="BQ14" s="2220"/>
      <c r="BR14" s="2220"/>
      <c r="BS14" s="2221"/>
      <c r="BT14" s="2132"/>
      <c r="BU14" s="1960"/>
      <c r="BV14" s="2132"/>
      <c r="BW14" s="1960"/>
      <c r="BX14" s="2132"/>
      <c r="BY14" s="1960"/>
      <c r="BZ14" s="2132"/>
      <c r="CA14" s="1960"/>
      <c r="CB14" s="2132"/>
      <c r="CC14" s="1960"/>
      <c r="CD14" s="2132"/>
      <c r="CE14" s="1960"/>
      <c r="CF14" s="2132"/>
      <c r="CG14" s="1960"/>
      <c r="CH14" s="2131" t="s">
        <v>2042</v>
      </c>
      <c r="CI14" s="2206"/>
      <c r="CJ14" s="2131" t="s">
        <v>2043</v>
      </c>
      <c r="CK14" s="2206"/>
      <c r="CL14" s="2227"/>
      <c r="CM14" s="2220"/>
      <c r="CN14" s="2220"/>
      <c r="CO14" s="2220"/>
      <c r="CP14" s="2220"/>
      <c r="CQ14" s="2220"/>
      <c r="CR14" s="2220"/>
      <c r="CS14" s="2220"/>
      <c r="CT14" s="2220"/>
      <c r="CU14" s="2220"/>
      <c r="CV14" s="2220"/>
      <c r="CW14" s="2220"/>
      <c r="CX14" s="2221"/>
      <c r="CY14" s="2132"/>
      <c r="CZ14" s="1960"/>
      <c r="DA14" s="2132"/>
      <c r="DB14" s="1960"/>
      <c r="DC14" s="2132"/>
      <c r="DD14" s="1960"/>
      <c r="DE14" s="2132"/>
      <c r="DF14" s="1960"/>
      <c r="DG14" s="2131" t="s">
        <v>2044</v>
      </c>
      <c r="DH14" s="2206"/>
      <c r="DI14" s="2131" t="s">
        <v>2045</v>
      </c>
      <c r="DJ14" s="2206"/>
      <c r="DK14" s="2227"/>
      <c r="DL14" s="2220"/>
      <c r="DM14" s="2220"/>
      <c r="DN14" s="2220"/>
      <c r="DO14" s="2220"/>
      <c r="DP14" s="2220"/>
      <c r="DQ14" s="2220"/>
      <c r="DR14" s="2220"/>
      <c r="DS14" s="2220"/>
      <c r="DT14" s="2220"/>
      <c r="DU14" s="2220"/>
      <c r="DV14" s="2220"/>
      <c r="DW14" s="2220"/>
      <c r="DX14" s="2220"/>
      <c r="DY14" s="2220"/>
      <c r="DZ14" s="2220"/>
      <c r="EA14" s="2220"/>
      <c r="EB14" s="2220"/>
      <c r="EC14" s="2220"/>
      <c r="ED14" s="2220"/>
      <c r="EE14" s="2220"/>
      <c r="EF14" s="2220"/>
      <c r="EG14" s="2220"/>
      <c r="EH14" s="2220"/>
      <c r="EI14" s="2220"/>
      <c r="EJ14" s="2220"/>
      <c r="EK14" s="2220"/>
      <c r="EL14" s="2220"/>
      <c r="EM14" s="2220"/>
      <c r="EN14" s="2220"/>
      <c r="EO14" s="2220"/>
      <c r="EP14" s="2220"/>
      <c r="EQ14" s="2220"/>
      <c r="ER14" s="2220"/>
      <c r="ES14" s="2220"/>
      <c r="ET14" s="2220"/>
      <c r="EU14" s="2220"/>
      <c r="EV14" s="2220"/>
      <c r="EW14" s="2220"/>
      <c r="EX14" s="2220"/>
      <c r="EY14" s="2220"/>
      <c r="EZ14" s="2220"/>
      <c r="FA14" s="2220"/>
      <c r="FB14" s="2220"/>
      <c r="FC14" s="2220"/>
      <c r="FD14" s="2220"/>
      <c r="FE14" s="2220"/>
      <c r="FF14" s="2220"/>
      <c r="FG14" s="2220"/>
      <c r="FH14" s="2220"/>
      <c r="FI14" s="2220"/>
      <c r="FJ14" s="2220"/>
      <c r="FK14" s="2220"/>
      <c r="FL14" s="2220"/>
      <c r="FM14" s="2220"/>
      <c r="FN14" s="2220"/>
      <c r="FO14" s="2220"/>
      <c r="FP14" s="2220"/>
      <c r="FQ14" s="2220"/>
      <c r="FR14" s="2220"/>
      <c r="FS14" s="2220"/>
      <c r="FT14" s="2220"/>
      <c r="FU14" s="2220"/>
      <c r="FV14" s="2220"/>
      <c r="FW14" s="2225"/>
      <c r="FX14" s="676"/>
    </row>
    <row r="15" spans="2:180" ht="36" customHeight="1">
      <c r="D15" s="850"/>
      <c r="E15" s="849"/>
      <c r="F15" s="1954"/>
      <c r="G15" s="1954"/>
      <c r="H15" s="1954"/>
      <c r="I15" s="1954"/>
      <c r="J15" s="2237"/>
      <c r="K15" s="2237"/>
      <c r="L15" s="2237"/>
      <c r="M15" s="2237"/>
      <c r="N15" s="2237"/>
      <c r="O15" s="2133"/>
      <c r="P15" s="2207"/>
      <c r="Q15" s="2133"/>
      <c r="R15" s="2207"/>
      <c r="S15" s="2133"/>
      <c r="T15" s="2207"/>
      <c r="U15" s="2133"/>
      <c r="V15" s="2207"/>
      <c r="W15" s="2133"/>
      <c r="X15" s="2207"/>
      <c r="Y15" s="2133"/>
      <c r="Z15" s="2207"/>
      <c r="AA15" s="2133"/>
      <c r="AB15" s="2207"/>
      <c r="AC15" s="2220"/>
      <c r="AD15" s="2220"/>
      <c r="AE15" s="2220"/>
      <c r="AF15" s="2220"/>
      <c r="AG15" s="2220"/>
      <c r="AH15" s="2220"/>
      <c r="AI15" s="2220"/>
      <c r="AJ15" s="2220"/>
      <c r="AK15" s="2220"/>
      <c r="AL15" s="2220"/>
      <c r="AM15" s="2220"/>
      <c r="AN15" s="2220"/>
      <c r="AO15" s="2220"/>
      <c r="AP15" s="2220"/>
      <c r="AQ15" s="2220"/>
      <c r="AR15" s="2220"/>
      <c r="AS15" s="2220"/>
      <c r="AT15" s="2220"/>
      <c r="AU15" s="2220"/>
      <c r="AV15" s="2220"/>
      <c r="AW15" s="2220"/>
      <c r="AX15" s="2220"/>
      <c r="AY15" s="2220"/>
      <c r="AZ15" s="2220"/>
      <c r="BA15" s="2220"/>
      <c r="BB15" s="2220"/>
      <c r="BC15" s="2220"/>
      <c r="BD15" s="2220"/>
      <c r="BE15" s="2220"/>
      <c r="BF15" s="2220"/>
      <c r="BG15" s="2220"/>
      <c r="BH15" s="2220"/>
      <c r="BI15" s="2220"/>
      <c r="BJ15" s="2220"/>
      <c r="BK15" s="2220"/>
      <c r="BL15" s="2220"/>
      <c r="BM15" s="2220"/>
      <c r="BN15" s="2220"/>
      <c r="BO15" s="2220"/>
      <c r="BP15" s="2220"/>
      <c r="BQ15" s="2220"/>
      <c r="BR15" s="2220"/>
      <c r="BS15" s="2221"/>
      <c r="BT15" s="2133"/>
      <c r="BU15" s="2207"/>
      <c r="BV15" s="2133"/>
      <c r="BW15" s="2207"/>
      <c r="BX15" s="2133"/>
      <c r="BY15" s="2207"/>
      <c r="BZ15" s="2133"/>
      <c r="CA15" s="2207"/>
      <c r="CB15" s="2133"/>
      <c r="CC15" s="2207"/>
      <c r="CD15" s="2133"/>
      <c r="CE15" s="2207"/>
      <c r="CF15" s="2133"/>
      <c r="CG15" s="2207"/>
      <c r="CH15" s="2133"/>
      <c r="CI15" s="2207"/>
      <c r="CJ15" s="2133"/>
      <c r="CK15" s="2207"/>
      <c r="CL15" s="2227"/>
      <c r="CM15" s="2220"/>
      <c r="CN15" s="2220"/>
      <c r="CO15" s="2220"/>
      <c r="CP15" s="2220"/>
      <c r="CQ15" s="2220"/>
      <c r="CR15" s="2220"/>
      <c r="CS15" s="2220"/>
      <c r="CT15" s="2220"/>
      <c r="CU15" s="2220"/>
      <c r="CV15" s="2220"/>
      <c r="CW15" s="2220"/>
      <c r="CX15" s="2221"/>
      <c r="CY15" s="2133"/>
      <c r="CZ15" s="2207"/>
      <c r="DA15" s="2133"/>
      <c r="DB15" s="2207"/>
      <c r="DC15" s="2133"/>
      <c r="DD15" s="2207"/>
      <c r="DE15" s="2133"/>
      <c r="DF15" s="2207"/>
      <c r="DG15" s="2133"/>
      <c r="DH15" s="2207"/>
      <c r="DI15" s="2133"/>
      <c r="DJ15" s="2207"/>
      <c r="DK15" s="2227"/>
      <c r="DL15" s="2220"/>
      <c r="DM15" s="2220"/>
      <c r="DN15" s="2220"/>
      <c r="DO15" s="2220"/>
      <c r="DP15" s="2220"/>
      <c r="DQ15" s="2220"/>
      <c r="DR15" s="2220"/>
      <c r="DS15" s="2220"/>
      <c r="DT15" s="2220"/>
      <c r="DU15" s="2220"/>
      <c r="DV15" s="2220"/>
      <c r="DW15" s="2220"/>
      <c r="DX15" s="2220"/>
      <c r="DY15" s="2220"/>
      <c r="DZ15" s="2220"/>
      <c r="EA15" s="2220"/>
      <c r="EB15" s="2220"/>
      <c r="EC15" s="2220"/>
      <c r="ED15" s="2220"/>
      <c r="EE15" s="2220"/>
      <c r="EF15" s="2220"/>
      <c r="EG15" s="2220"/>
      <c r="EH15" s="2220"/>
      <c r="EI15" s="2220"/>
      <c r="EJ15" s="2220"/>
      <c r="EK15" s="2220"/>
      <c r="EL15" s="2220"/>
      <c r="EM15" s="2220"/>
      <c r="EN15" s="2220"/>
      <c r="EO15" s="2220"/>
      <c r="EP15" s="2220"/>
      <c r="EQ15" s="2220"/>
      <c r="ER15" s="2220"/>
      <c r="ES15" s="2220"/>
      <c r="ET15" s="2220"/>
      <c r="EU15" s="2220"/>
      <c r="EV15" s="2220"/>
      <c r="EW15" s="2220"/>
      <c r="EX15" s="2220"/>
      <c r="EY15" s="2220"/>
      <c r="EZ15" s="2220"/>
      <c r="FA15" s="2220"/>
      <c r="FB15" s="2220"/>
      <c r="FC15" s="2220"/>
      <c r="FD15" s="2220"/>
      <c r="FE15" s="2220"/>
      <c r="FF15" s="2220"/>
      <c r="FG15" s="2220"/>
      <c r="FH15" s="2220"/>
      <c r="FI15" s="2220"/>
      <c r="FJ15" s="2220"/>
      <c r="FK15" s="2220"/>
      <c r="FL15" s="2220"/>
      <c r="FM15" s="2220"/>
      <c r="FN15" s="2220"/>
      <c r="FO15" s="2220"/>
      <c r="FP15" s="2220"/>
      <c r="FQ15" s="2220"/>
      <c r="FR15" s="2220"/>
      <c r="FS15" s="2220"/>
      <c r="FT15" s="2220"/>
      <c r="FU15" s="2220"/>
      <c r="FV15" s="2220"/>
      <c r="FW15" s="2225"/>
      <c r="FX15" s="676"/>
    </row>
    <row r="16" spans="2:180" ht="12" customHeight="1">
      <c r="D16" s="850"/>
      <c r="E16" s="849"/>
      <c r="F16" s="1954"/>
      <c r="G16" s="1954"/>
      <c r="H16" s="1954"/>
      <c r="I16" s="1954"/>
      <c r="J16" s="2237"/>
      <c r="K16" s="2237"/>
      <c r="L16" s="2237"/>
      <c r="M16" s="2237"/>
      <c r="N16" s="2237"/>
      <c r="O16" s="2171" t="s">
        <v>1818</v>
      </c>
      <c r="P16" s="2173"/>
      <c r="Q16" s="2171" t="s">
        <v>1820</v>
      </c>
      <c r="R16" s="2173"/>
      <c r="S16" s="2171" t="s">
        <v>1824</v>
      </c>
      <c r="T16" s="2173"/>
      <c r="U16" s="2171" t="s">
        <v>1829</v>
      </c>
      <c r="V16" s="2173"/>
      <c r="W16" s="2171" t="s">
        <v>1832</v>
      </c>
      <c r="X16" s="2173"/>
      <c r="Y16" s="2171" t="s">
        <v>1836</v>
      </c>
      <c r="Z16" s="2173"/>
      <c r="AA16" s="2171" t="s">
        <v>1839</v>
      </c>
      <c r="AB16" s="2173"/>
      <c r="AC16" s="2220"/>
      <c r="AD16" s="2220"/>
      <c r="AE16" s="2220"/>
      <c r="AF16" s="2220"/>
      <c r="AG16" s="2220"/>
      <c r="AH16" s="2220"/>
      <c r="AI16" s="2220"/>
      <c r="AJ16" s="2220"/>
      <c r="AK16" s="2220"/>
      <c r="AL16" s="2220"/>
      <c r="AM16" s="2220"/>
      <c r="AN16" s="2220"/>
      <c r="AO16" s="2220"/>
      <c r="AP16" s="2220"/>
      <c r="AQ16" s="2220"/>
      <c r="AR16" s="2220"/>
      <c r="AS16" s="2220"/>
      <c r="AT16" s="2220"/>
      <c r="AU16" s="2220"/>
      <c r="AV16" s="2220"/>
      <c r="AW16" s="2220"/>
      <c r="AX16" s="2220"/>
      <c r="AY16" s="2220"/>
      <c r="AZ16" s="2220"/>
      <c r="BA16" s="2220"/>
      <c r="BB16" s="2220"/>
      <c r="BC16" s="2220"/>
      <c r="BD16" s="2220"/>
      <c r="BE16" s="2220"/>
      <c r="BF16" s="2220"/>
      <c r="BG16" s="2220"/>
      <c r="BH16" s="2220"/>
      <c r="BI16" s="2220"/>
      <c r="BJ16" s="2220"/>
      <c r="BK16" s="2220"/>
      <c r="BL16" s="2220"/>
      <c r="BM16" s="2220"/>
      <c r="BN16" s="2220"/>
      <c r="BO16" s="2220"/>
      <c r="BP16" s="2220"/>
      <c r="BQ16" s="2220"/>
      <c r="BR16" s="2220"/>
      <c r="BS16" s="2221"/>
      <c r="BT16" s="2171" t="s">
        <v>1632</v>
      </c>
      <c r="BU16" s="2173"/>
      <c r="BV16" s="2171" t="s">
        <v>1632</v>
      </c>
      <c r="BW16" s="2173"/>
      <c r="BX16" s="2171" t="s">
        <v>1632</v>
      </c>
      <c r="BY16" s="2173"/>
      <c r="BZ16" s="2171" t="s">
        <v>1632</v>
      </c>
      <c r="CA16" s="2173"/>
      <c r="CB16" s="2171" t="s">
        <v>2046</v>
      </c>
      <c r="CC16" s="2173"/>
      <c r="CD16" s="2171" t="s">
        <v>1632</v>
      </c>
      <c r="CE16" s="2173"/>
      <c r="CF16" s="2171" t="s">
        <v>2047</v>
      </c>
      <c r="CG16" s="2173"/>
      <c r="CH16" s="2171" t="s">
        <v>2048</v>
      </c>
      <c r="CI16" s="2173"/>
      <c r="CJ16" s="2171" t="s">
        <v>2048</v>
      </c>
      <c r="CK16" s="2173"/>
      <c r="CL16" s="2227"/>
      <c r="CM16" s="2220"/>
      <c r="CN16" s="2220"/>
      <c r="CO16" s="2220"/>
      <c r="CP16" s="2220"/>
      <c r="CQ16" s="2220"/>
      <c r="CR16" s="2220"/>
      <c r="CS16" s="2220"/>
      <c r="CT16" s="2220"/>
      <c r="CU16" s="2220"/>
      <c r="CV16" s="2220"/>
      <c r="CW16" s="2220"/>
      <c r="CX16" s="2221"/>
      <c r="CY16" s="2131" t="s">
        <v>1632</v>
      </c>
      <c r="CZ16" s="2206"/>
      <c r="DA16" s="2131" t="s">
        <v>1632</v>
      </c>
      <c r="DB16" s="2206"/>
      <c r="DC16" s="2131" t="s">
        <v>1632</v>
      </c>
      <c r="DD16" s="2206"/>
      <c r="DE16" s="2171" t="s">
        <v>2046</v>
      </c>
      <c r="DF16" s="2173"/>
      <c r="DG16" s="2171" t="s">
        <v>2049</v>
      </c>
      <c r="DH16" s="2173"/>
      <c r="DI16" s="2171" t="s">
        <v>2049</v>
      </c>
      <c r="DJ16" s="2173"/>
      <c r="DK16" s="2227"/>
      <c r="DL16" s="2220"/>
      <c r="DM16" s="2220"/>
      <c r="DN16" s="2220"/>
      <c r="DO16" s="2220"/>
      <c r="DP16" s="2220"/>
      <c r="DQ16" s="2220"/>
      <c r="DR16" s="2220"/>
      <c r="DS16" s="2220"/>
      <c r="DT16" s="2220"/>
      <c r="DU16" s="2220"/>
      <c r="DV16" s="2220"/>
      <c r="DW16" s="2220"/>
      <c r="DX16" s="2220"/>
      <c r="DY16" s="2220"/>
      <c r="DZ16" s="2220"/>
      <c r="EA16" s="2220"/>
      <c r="EB16" s="2220"/>
      <c r="EC16" s="2220"/>
      <c r="ED16" s="2220"/>
      <c r="EE16" s="2220"/>
      <c r="EF16" s="2220"/>
      <c r="EG16" s="2220"/>
      <c r="EH16" s="2220"/>
      <c r="EI16" s="2220"/>
      <c r="EJ16" s="2220"/>
      <c r="EK16" s="2220"/>
      <c r="EL16" s="2220"/>
      <c r="EM16" s="2220"/>
      <c r="EN16" s="2220"/>
      <c r="EO16" s="2220"/>
      <c r="EP16" s="2220"/>
      <c r="EQ16" s="2220"/>
      <c r="ER16" s="2220"/>
      <c r="ES16" s="2220"/>
      <c r="ET16" s="2220"/>
      <c r="EU16" s="2220"/>
      <c r="EV16" s="2220"/>
      <c r="EW16" s="2220"/>
      <c r="EX16" s="2220"/>
      <c r="EY16" s="2220"/>
      <c r="EZ16" s="2220"/>
      <c r="FA16" s="2220"/>
      <c r="FB16" s="2220"/>
      <c r="FC16" s="2220"/>
      <c r="FD16" s="2220"/>
      <c r="FE16" s="2220"/>
      <c r="FF16" s="2220"/>
      <c r="FG16" s="2220"/>
      <c r="FH16" s="2220"/>
      <c r="FI16" s="2220"/>
      <c r="FJ16" s="2220"/>
      <c r="FK16" s="2220"/>
      <c r="FL16" s="2220"/>
      <c r="FM16" s="2220"/>
      <c r="FN16" s="2220"/>
      <c r="FO16" s="2220"/>
      <c r="FP16" s="2220"/>
      <c r="FQ16" s="2220"/>
      <c r="FR16" s="2220"/>
      <c r="FS16" s="2220"/>
      <c r="FT16" s="2220"/>
      <c r="FU16" s="2220"/>
      <c r="FV16" s="2220"/>
      <c r="FW16" s="2225"/>
      <c r="FX16" s="676"/>
    </row>
    <row r="17" spans="1:184" ht="15" customHeight="1">
      <c r="E17" s="849"/>
      <c r="F17" s="1954"/>
      <c r="G17" s="1954"/>
      <c r="H17" s="1954"/>
      <c r="I17" s="1954"/>
      <c r="J17" s="2237"/>
      <c r="K17" s="2237"/>
      <c r="L17" s="2237"/>
      <c r="M17" s="2237"/>
      <c r="N17" s="2237"/>
      <c r="O17" s="1095" t="s">
        <v>2050</v>
      </c>
      <c r="P17" s="1095" t="s">
        <v>2051</v>
      </c>
      <c r="Q17" s="1095" t="s">
        <v>2050</v>
      </c>
      <c r="R17" s="1095" t="s">
        <v>2051</v>
      </c>
      <c r="S17" s="1095" t="s">
        <v>2050</v>
      </c>
      <c r="T17" s="1095" t="s">
        <v>2051</v>
      </c>
      <c r="U17" s="1095" t="s">
        <v>2050</v>
      </c>
      <c r="V17" s="1095" t="s">
        <v>2051</v>
      </c>
      <c r="W17" s="1095" t="s">
        <v>2050</v>
      </c>
      <c r="X17" s="1095" t="s">
        <v>2051</v>
      </c>
      <c r="Y17" s="1095" t="s">
        <v>2050</v>
      </c>
      <c r="Z17" s="1095" t="s">
        <v>2051</v>
      </c>
      <c r="AA17" s="1095" t="s">
        <v>2050</v>
      </c>
      <c r="AB17" s="1095" t="s">
        <v>2051</v>
      </c>
      <c r="AC17" s="2220"/>
      <c r="AD17" s="2220"/>
      <c r="AE17" s="2220"/>
      <c r="AF17" s="2220"/>
      <c r="AG17" s="2220"/>
      <c r="AH17" s="2220"/>
      <c r="AI17" s="2220"/>
      <c r="AJ17" s="2220"/>
      <c r="AK17" s="2220"/>
      <c r="AL17" s="2220"/>
      <c r="AM17" s="2220"/>
      <c r="AN17" s="2220"/>
      <c r="AO17" s="2220"/>
      <c r="AP17" s="2220"/>
      <c r="AQ17" s="2220"/>
      <c r="AR17" s="2220"/>
      <c r="AS17" s="2220"/>
      <c r="AT17" s="2220"/>
      <c r="AU17" s="2220"/>
      <c r="AV17" s="2220"/>
      <c r="AW17" s="2220"/>
      <c r="AX17" s="2220"/>
      <c r="AY17" s="2220"/>
      <c r="AZ17" s="2220"/>
      <c r="BA17" s="2220"/>
      <c r="BB17" s="2220"/>
      <c r="BC17" s="2220"/>
      <c r="BD17" s="2220"/>
      <c r="BE17" s="2220"/>
      <c r="BF17" s="2220"/>
      <c r="BG17" s="2220"/>
      <c r="BH17" s="2220"/>
      <c r="BI17" s="2220"/>
      <c r="BJ17" s="2220"/>
      <c r="BK17" s="2220"/>
      <c r="BL17" s="2220"/>
      <c r="BM17" s="2220"/>
      <c r="BN17" s="2220"/>
      <c r="BO17" s="2220"/>
      <c r="BP17" s="2220"/>
      <c r="BQ17" s="2220"/>
      <c r="BR17" s="2220"/>
      <c r="BS17" s="2221"/>
      <c r="BT17" s="1095" t="s">
        <v>2050</v>
      </c>
      <c r="BU17" s="1095" t="s">
        <v>2051</v>
      </c>
      <c r="BV17" s="1095" t="s">
        <v>2050</v>
      </c>
      <c r="BW17" s="1095" t="s">
        <v>2051</v>
      </c>
      <c r="BX17" s="1095" t="s">
        <v>2050</v>
      </c>
      <c r="BY17" s="1095" t="s">
        <v>2051</v>
      </c>
      <c r="BZ17" s="1095" t="s">
        <v>2050</v>
      </c>
      <c r="CA17" s="1095" t="s">
        <v>2051</v>
      </c>
      <c r="CB17" s="1095" t="s">
        <v>2050</v>
      </c>
      <c r="CC17" s="1095" t="s">
        <v>2051</v>
      </c>
      <c r="CD17" s="1095" t="s">
        <v>2050</v>
      </c>
      <c r="CE17" s="1095" t="s">
        <v>2051</v>
      </c>
      <c r="CF17" s="1095" t="s">
        <v>2050</v>
      </c>
      <c r="CG17" s="1095" t="s">
        <v>2051</v>
      </c>
      <c r="CH17" s="1095" t="s">
        <v>2050</v>
      </c>
      <c r="CI17" s="1095" t="s">
        <v>2051</v>
      </c>
      <c r="CJ17" s="1095" t="s">
        <v>2050</v>
      </c>
      <c r="CK17" s="1095" t="s">
        <v>2051</v>
      </c>
      <c r="CL17" s="2227"/>
      <c r="CM17" s="2220"/>
      <c r="CN17" s="2220"/>
      <c r="CO17" s="2220"/>
      <c r="CP17" s="2220"/>
      <c r="CQ17" s="2220"/>
      <c r="CR17" s="2220"/>
      <c r="CS17" s="2220"/>
      <c r="CT17" s="2220"/>
      <c r="CU17" s="2220"/>
      <c r="CV17" s="2220"/>
      <c r="CW17" s="2220"/>
      <c r="CX17" s="2221"/>
      <c r="CY17" s="1095" t="s">
        <v>2050</v>
      </c>
      <c r="CZ17" s="1095" t="s">
        <v>2051</v>
      </c>
      <c r="DA17" s="1095" t="s">
        <v>2050</v>
      </c>
      <c r="DB17" s="1095" t="s">
        <v>2051</v>
      </c>
      <c r="DC17" s="1095" t="s">
        <v>2050</v>
      </c>
      <c r="DD17" s="1095" t="s">
        <v>2051</v>
      </c>
      <c r="DE17" s="1095" t="s">
        <v>2050</v>
      </c>
      <c r="DF17" s="1095" t="s">
        <v>2051</v>
      </c>
      <c r="DG17" s="1095" t="s">
        <v>2050</v>
      </c>
      <c r="DH17" s="1095" t="s">
        <v>2051</v>
      </c>
      <c r="DI17" s="1095" t="s">
        <v>2050</v>
      </c>
      <c r="DJ17" s="1095" t="s">
        <v>2051</v>
      </c>
      <c r="DK17" s="2227"/>
      <c r="DL17" s="2220"/>
      <c r="DM17" s="2220"/>
      <c r="DN17" s="2220"/>
      <c r="DO17" s="2220"/>
      <c r="DP17" s="2220"/>
      <c r="DQ17" s="2220"/>
      <c r="DR17" s="2220"/>
      <c r="DS17" s="2220"/>
      <c r="DT17" s="2220"/>
      <c r="DU17" s="2220"/>
      <c r="DV17" s="2220"/>
      <c r="DW17" s="2220"/>
      <c r="DX17" s="2220"/>
      <c r="DY17" s="2220"/>
      <c r="DZ17" s="2220"/>
      <c r="EA17" s="2220"/>
      <c r="EB17" s="2220"/>
      <c r="EC17" s="2220"/>
      <c r="ED17" s="2220"/>
      <c r="EE17" s="2220"/>
      <c r="EF17" s="2220"/>
      <c r="EG17" s="2220"/>
      <c r="EH17" s="2220"/>
      <c r="EI17" s="2220"/>
      <c r="EJ17" s="2220"/>
      <c r="EK17" s="2220"/>
      <c r="EL17" s="2220"/>
      <c r="EM17" s="2220"/>
      <c r="EN17" s="2220"/>
      <c r="EO17" s="2220"/>
      <c r="EP17" s="2220"/>
      <c r="EQ17" s="2220"/>
      <c r="ER17" s="2220"/>
      <c r="ES17" s="2220"/>
      <c r="ET17" s="2220"/>
      <c r="EU17" s="2220"/>
      <c r="EV17" s="2220"/>
      <c r="EW17" s="2220"/>
      <c r="EX17" s="2220"/>
      <c r="EY17" s="2220"/>
      <c r="EZ17" s="2220"/>
      <c r="FA17" s="2220"/>
      <c r="FB17" s="2220"/>
      <c r="FC17" s="2220"/>
      <c r="FD17" s="2220"/>
      <c r="FE17" s="2220"/>
      <c r="FF17" s="2220"/>
      <c r="FG17" s="2220"/>
      <c r="FH17" s="2220"/>
      <c r="FI17" s="2220"/>
      <c r="FJ17" s="2220"/>
      <c r="FK17" s="2220"/>
      <c r="FL17" s="2220"/>
      <c r="FM17" s="2220"/>
      <c r="FN17" s="2220"/>
      <c r="FO17" s="2220"/>
      <c r="FP17" s="2220"/>
      <c r="FQ17" s="2220"/>
      <c r="FR17" s="2220"/>
      <c r="FS17" s="2220"/>
      <c r="FT17" s="2220"/>
      <c r="FU17" s="2220"/>
      <c r="FV17" s="2220"/>
      <c r="FW17" s="2226"/>
      <c r="FX17" s="676"/>
    </row>
    <row r="18" spans="1:184" s="839" customFormat="1" ht="12" hidden="1" customHeight="1">
      <c r="B18" s="837"/>
      <c r="E18" s="851"/>
      <c r="F18" s="1096"/>
      <c r="G18" s="1096"/>
      <c r="H18" s="1096"/>
      <c r="I18" s="1096"/>
      <c r="J18" s="1097"/>
      <c r="K18" s="1097"/>
      <c r="L18" s="1097"/>
      <c r="M18" s="1097"/>
      <c r="N18" s="1097"/>
      <c r="O18" s="1096"/>
      <c r="P18" s="1096"/>
      <c r="Q18" s="1096"/>
      <c r="R18" s="1096"/>
      <c r="S18" s="1096"/>
      <c r="T18" s="1096"/>
      <c r="U18" s="1098"/>
      <c r="V18" s="1098"/>
      <c r="W18" s="1098"/>
      <c r="X18" s="1098"/>
      <c r="Y18" s="1098"/>
      <c r="Z18" s="1098"/>
      <c r="AA18" s="1098"/>
      <c r="AB18" s="1096"/>
      <c r="AC18" s="1097"/>
      <c r="AD18" s="1097"/>
      <c r="AE18" s="1097"/>
      <c r="AF18" s="1097"/>
      <c r="AG18" s="1097"/>
      <c r="AH18" s="1097"/>
      <c r="AI18" s="1097"/>
      <c r="AJ18" s="1097"/>
      <c r="AK18" s="1097"/>
      <c r="AL18" s="1097"/>
      <c r="AM18" s="1097"/>
      <c r="AN18" s="1097"/>
      <c r="AO18" s="1097"/>
      <c r="AP18" s="1097"/>
      <c r="AQ18" s="1097"/>
      <c r="AR18" s="1097"/>
      <c r="AS18" s="1097"/>
      <c r="AT18" s="1097"/>
      <c r="AU18" s="1097"/>
      <c r="AV18" s="1097"/>
      <c r="AW18" s="1097"/>
      <c r="AX18" s="1097"/>
      <c r="AY18" s="1097"/>
      <c r="AZ18" s="1097"/>
      <c r="BA18" s="1097"/>
      <c r="BB18" s="1097"/>
      <c r="BC18" s="1097"/>
      <c r="BD18" s="1097"/>
      <c r="BE18" s="1097"/>
      <c r="BF18" s="1097"/>
      <c r="BG18" s="1097"/>
      <c r="BH18" s="1097"/>
      <c r="BI18" s="1097"/>
      <c r="BJ18" s="1097"/>
      <c r="BK18" s="1097"/>
      <c r="BL18" s="1097"/>
      <c r="BM18" s="1097"/>
      <c r="BN18" s="1097"/>
      <c r="BO18" s="1097"/>
      <c r="BP18" s="1097"/>
      <c r="BQ18" s="1097"/>
      <c r="BR18" s="1097"/>
      <c r="BS18" s="1097"/>
      <c r="BT18" s="1099"/>
      <c r="BU18" s="1099"/>
      <c r="BV18" s="1099"/>
      <c r="BW18" s="1099"/>
      <c r="BX18" s="1099"/>
      <c r="BY18" s="1099"/>
      <c r="BZ18" s="1099"/>
      <c r="CA18" s="1099"/>
      <c r="CB18" s="1099"/>
      <c r="CC18" s="1099"/>
      <c r="CD18" s="1099"/>
      <c r="CE18" s="1099"/>
      <c r="CF18" s="1099"/>
      <c r="CG18" s="1099"/>
      <c r="CH18" s="1099"/>
      <c r="CI18" s="1099"/>
      <c r="CJ18" s="1099"/>
      <c r="CK18" s="1099"/>
      <c r="CL18" s="1097"/>
      <c r="CM18" s="1097"/>
      <c r="CN18" s="1097"/>
      <c r="CO18" s="1097"/>
      <c r="CP18" s="1097"/>
      <c r="CQ18" s="1097"/>
      <c r="CR18" s="1097"/>
      <c r="CS18" s="1097"/>
      <c r="CT18" s="1097"/>
      <c r="CU18" s="1097"/>
      <c r="CV18" s="1097"/>
      <c r="CW18" s="1097"/>
      <c r="CX18" s="1097"/>
      <c r="CY18" s="1099"/>
      <c r="CZ18" s="1099"/>
      <c r="DA18" s="1099"/>
      <c r="DB18" s="1099"/>
      <c r="DC18" s="1099"/>
      <c r="DD18" s="1099"/>
      <c r="DE18" s="1099"/>
      <c r="DF18" s="1099"/>
      <c r="DG18" s="1099"/>
      <c r="DH18" s="1099"/>
      <c r="DI18" s="1099"/>
      <c r="DJ18" s="1099"/>
      <c r="DK18" s="1097"/>
      <c r="DL18" s="1097"/>
      <c r="DM18" s="1097"/>
      <c r="DN18" s="1097"/>
      <c r="DO18" s="1097"/>
      <c r="DP18" s="1097"/>
      <c r="DQ18" s="1097"/>
      <c r="DR18" s="1097"/>
      <c r="DS18" s="1097"/>
      <c r="DT18" s="1097"/>
      <c r="DU18" s="1097"/>
      <c r="DV18" s="1097"/>
      <c r="DW18" s="1097"/>
      <c r="DX18" s="1097"/>
      <c r="DY18" s="1097"/>
      <c r="DZ18" s="1097"/>
      <c r="EA18" s="1097"/>
      <c r="EB18" s="1097"/>
      <c r="EC18" s="1097"/>
      <c r="ED18" s="1097"/>
      <c r="EE18" s="1097"/>
      <c r="EF18" s="1097"/>
      <c r="EG18" s="1097"/>
      <c r="EH18" s="1097"/>
      <c r="EI18" s="1097"/>
      <c r="EJ18" s="1097"/>
      <c r="EK18" s="1097"/>
      <c r="EL18" s="1097"/>
      <c r="EM18" s="1097"/>
      <c r="EN18" s="1097"/>
      <c r="EO18" s="1097"/>
      <c r="EP18" s="1097"/>
      <c r="EQ18" s="1097"/>
      <c r="ER18" s="1097"/>
      <c r="ES18" s="1097"/>
      <c r="ET18" s="1097"/>
      <c r="EU18" s="1097"/>
      <c r="EV18" s="1097"/>
      <c r="EW18" s="1097"/>
      <c r="EX18" s="1097"/>
      <c r="EY18" s="1097"/>
      <c r="EZ18" s="1097"/>
      <c r="FA18" s="1097"/>
      <c r="FB18" s="1097"/>
      <c r="FC18" s="1097"/>
      <c r="FD18" s="1097"/>
      <c r="FE18" s="1097"/>
      <c r="FF18" s="1097"/>
      <c r="FG18" s="1097"/>
      <c r="FH18" s="1097"/>
      <c r="FI18" s="1097"/>
      <c r="FJ18" s="1097"/>
      <c r="FK18" s="1097"/>
      <c r="FL18" s="1097"/>
      <c r="FM18" s="1097"/>
      <c r="FN18" s="1097"/>
      <c r="FO18" s="1097"/>
      <c r="FP18" s="1097"/>
      <c r="FQ18" s="1097"/>
      <c r="FR18" s="1097"/>
      <c r="FS18" s="1097"/>
      <c r="FT18" s="1097"/>
      <c r="FU18" s="1097"/>
      <c r="FV18" s="1097"/>
      <c r="FW18" s="1096"/>
      <c r="FX18" s="1100"/>
    </row>
    <row r="19" spans="1:184" s="839" customFormat="1" ht="11.25" hidden="1" customHeight="1">
      <c r="B19" s="837"/>
      <c r="E19" s="851"/>
      <c r="F19" s="1096"/>
      <c r="G19" s="1096"/>
      <c r="H19" s="1096"/>
      <c r="I19" s="1096"/>
      <c r="J19" s="1096"/>
      <c r="K19" s="1096"/>
      <c r="L19" s="1096"/>
      <c r="M19" s="1096"/>
      <c r="N19" s="1096"/>
      <c r="O19" s="1096"/>
      <c r="P19" s="1096"/>
      <c r="Q19" s="1096"/>
      <c r="R19" s="1096"/>
      <c r="S19" s="1096"/>
      <c r="T19" s="1096"/>
      <c r="U19" s="1098"/>
      <c r="V19" s="1098"/>
      <c r="W19" s="1098"/>
      <c r="X19" s="1098"/>
      <c r="Y19" s="1098"/>
      <c r="Z19" s="1098"/>
      <c r="AA19" s="1098"/>
      <c r="AB19" s="1096"/>
      <c r="AC19" s="1096"/>
      <c r="AD19" s="1096"/>
      <c r="AE19" s="1096"/>
      <c r="AF19" s="1096"/>
      <c r="AG19" s="1096"/>
      <c r="AH19" s="1096"/>
      <c r="AI19" s="1096"/>
      <c r="AJ19" s="1096"/>
      <c r="AK19" s="1096"/>
      <c r="AL19" s="1096"/>
      <c r="AM19" s="1096"/>
      <c r="AN19" s="1096"/>
      <c r="AO19" s="1096"/>
      <c r="AP19" s="1096"/>
      <c r="AQ19" s="1096"/>
      <c r="AR19" s="1096"/>
      <c r="AS19" s="1096"/>
      <c r="AT19" s="1096"/>
      <c r="AU19" s="1096"/>
      <c r="AV19" s="1096"/>
      <c r="AW19" s="1096"/>
      <c r="AX19" s="1096"/>
      <c r="AY19" s="1096"/>
      <c r="AZ19" s="1096"/>
      <c r="BA19" s="1096"/>
      <c r="BB19" s="1096"/>
      <c r="BC19" s="1096"/>
      <c r="BD19" s="1096"/>
      <c r="BE19" s="1096"/>
      <c r="BF19" s="1096"/>
      <c r="BG19" s="1096"/>
      <c r="BH19" s="1096"/>
      <c r="BI19" s="1096"/>
      <c r="BJ19" s="1096"/>
      <c r="BK19" s="1096"/>
      <c r="BL19" s="1096"/>
      <c r="BM19" s="1096"/>
      <c r="BN19" s="1096"/>
      <c r="BO19" s="1096"/>
      <c r="BP19" s="1096"/>
      <c r="BQ19" s="1096"/>
      <c r="BR19" s="1096"/>
      <c r="BS19" s="1096"/>
      <c r="BT19" s="1096"/>
      <c r="BU19" s="1096"/>
      <c r="BV19" s="1096"/>
      <c r="BW19" s="1096"/>
      <c r="BX19" s="1096"/>
      <c r="BY19" s="1096"/>
      <c r="BZ19" s="1096"/>
      <c r="CA19" s="1096"/>
      <c r="CB19" s="1096"/>
      <c r="CC19" s="1096"/>
      <c r="CD19" s="1096"/>
      <c r="CE19" s="1096"/>
      <c r="CF19" s="1096"/>
      <c r="CG19" s="1096"/>
      <c r="CH19" s="1096"/>
      <c r="CI19" s="1096"/>
      <c r="CJ19" s="1096"/>
      <c r="CK19" s="1096"/>
      <c r="CL19" s="1096"/>
      <c r="CM19" s="1096"/>
      <c r="CN19" s="1096"/>
      <c r="CO19" s="1096"/>
      <c r="CP19" s="1096"/>
      <c r="CQ19" s="1096"/>
      <c r="CR19" s="1096"/>
      <c r="CS19" s="1096"/>
      <c r="CT19" s="1096"/>
      <c r="CU19" s="1096"/>
      <c r="CV19" s="1096"/>
      <c r="CW19" s="1096"/>
      <c r="CX19" s="1096"/>
      <c r="CY19" s="1096"/>
      <c r="CZ19" s="1096"/>
      <c r="DA19" s="1096"/>
      <c r="DB19" s="1096"/>
      <c r="DC19" s="1096"/>
      <c r="DD19" s="1096"/>
      <c r="DE19" s="1096"/>
      <c r="DF19" s="1096"/>
      <c r="DG19" s="1096"/>
      <c r="DH19" s="1096"/>
      <c r="DI19" s="1096"/>
      <c r="DJ19" s="1096"/>
      <c r="DK19" s="1096"/>
      <c r="DL19" s="1096"/>
      <c r="DM19" s="1096"/>
      <c r="DN19" s="1096"/>
      <c r="DO19" s="1096"/>
      <c r="DP19" s="1096"/>
      <c r="DQ19" s="1096"/>
      <c r="DR19" s="1096"/>
      <c r="DS19" s="1096"/>
      <c r="DT19" s="1096"/>
      <c r="DU19" s="1096"/>
      <c r="DV19" s="1096"/>
      <c r="DW19" s="1096"/>
      <c r="DX19" s="1096"/>
      <c r="DY19" s="1096"/>
      <c r="DZ19" s="1096"/>
      <c r="EA19" s="1096"/>
      <c r="EB19" s="1096"/>
      <c r="EC19" s="1096"/>
      <c r="ED19" s="1096"/>
      <c r="EE19" s="1096"/>
      <c r="EF19" s="1096"/>
      <c r="EG19" s="1096"/>
      <c r="EH19" s="1096"/>
      <c r="EI19" s="1096"/>
      <c r="EJ19" s="1096"/>
      <c r="EK19" s="1096"/>
      <c r="EL19" s="1096"/>
      <c r="EM19" s="1096"/>
      <c r="EN19" s="1096"/>
      <c r="EO19" s="1096"/>
      <c r="EP19" s="1096"/>
      <c r="EQ19" s="1096"/>
      <c r="ER19" s="1096"/>
      <c r="ES19" s="1096"/>
      <c r="ET19" s="1096"/>
      <c r="EU19" s="1096"/>
      <c r="EV19" s="1096"/>
      <c r="EW19" s="1096"/>
      <c r="EX19" s="1096"/>
      <c r="EY19" s="1096"/>
      <c r="EZ19" s="1096"/>
      <c r="FA19" s="1096"/>
      <c r="FB19" s="1096"/>
      <c r="FC19" s="1096"/>
      <c r="FD19" s="1096"/>
      <c r="FE19" s="1096"/>
      <c r="FF19" s="1096"/>
      <c r="FG19" s="1096"/>
      <c r="FH19" s="1096"/>
      <c r="FI19" s="1096"/>
      <c r="FJ19" s="1096"/>
      <c r="FK19" s="1096"/>
      <c r="FL19" s="1096"/>
      <c r="FM19" s="1096"/>
      <c r="FN19" s="1096"/>
      <c r="FO19" s="1096"/>
      <c r="FP19" s="1096"/>
      <c r="FQ19" s="1096"/>
      <c r="FR19" s="1096"/>
      <c r="FS19" s="1096"/>
      <c r="FT19" s="1096"/>
      <c r="FU19" s="1096"/>
      <c r="FV19" s="1096"/>
      <c r="FW19" s="1096"/>
      <c r="FX19" s="1100"/>
    </row>
    <row r="20" spans="1:184" s="839" customFormat="1" ht="11.25" hidden="1" customHeight="1">
      <c r="B20" s="852"/>
      <c r="D20" s="838"/>
      <c r="E20" s="851"/>
      <c r="F20" s="1101" t="s">
        <v>369</v>
      </c>
      <c r="G20" s="1102"/>
      <c r="H20" s="1103"/>
      <c r="I20" s="1103"/>
      <c r="J20" s="1103"/>
      <c r="K20" s="1103"/>
      <c r="L20" s="1103"/>
      <c r="M20" s="1103"/>
      <c r="N20" s="1103"/>
      <c r="O20" s="1102"/>
      <c r="P20" s="1102"/>
      <c r="Q20" s="1102"/>
      <c r="R20" s="1102"/>
      <c r="S20" s="1102"/>
      <c r="T20" s="1102"/>
      <c r="U20" s="1104"/>
      <c r="V20" s="1104"/>
      <c r="W20" s="1104"/>
      <c r="X20" s="1104"/>
      <c r="Y20" s="1104"/>
      <c r="Z20" s="1104"/>
      <c r="AA20" s="1104"/>
      <c r="AB20" s="1102"/>
      <c r="AC20" s="1103"/>
      <c r="AD20" s="1103"/>
      <c r="AE20" s="1103"/>
      <c r="AF20" s="1103"/>
      <c r="AG20" s="1103"/>
      <c r="AH20" s="1103"/>
      <c r="AI20" s="1103"/>
      <c r="AJ20" s="1103"/>
      <c r="AK20" s="1103"/>
      <c r="AL20" s="1103"/>
      <c r="AM20" s="1103"/>
      <c r="AN20" s="1103"/>
      <c r="AO20" s="1103"/>
      <c r="AP20" s="1103"/>
      <c r="AQ20" s="1103"/>
      <c r="AR20" s="1103"/>
      <c r="AS20" s="1103"/>
      <c r="AT20" s="1103"/>
      <c r="AU20" s="1103"/>
      <c r="AV20" s="1103"/>
      <c r="AW20" s="1103"/>
      <c r="AX20" s="1103"/>
      <c r="AY20" s="1103"/>
      <c r="AZ20" s="1103"/>
      <c r="BA20" s="1103"/>
      <c r="BB20" s="1103"/>
      <c r="BC20" s="1103"/>
      <c r="BD20" s="1103"/>
      <c r="BE20" s="1103"/>
      <c r="BF20" s="1103"/>
      <c r="BG20" s="1103"/>
      <c r="BH20" s="1103"/>
      <c r="BI20" s="1103"/>
      <c r="BJ20" s="1103"/>
      <c r="BK20" s="1103"/>
      <c r="BL20" s="1103"/>
      <c r="BM20" s="1103"/>
      <c r="BN20" s="1103"/>
      <c r="BO20" s="1103"/>
      <c r="BP20" s="1103"/>
      <c r="BQ20" s="1103"/>
      <c r="BR20" s="1103"/>
      <c r="BS20" s="1103"/>
      <c r="BT20" s="1103"/>
      <c r="BU20" s="1103"/>
      <c r="BV20" s="1103"/>
      <c r="BW20" s="1103"/>
      <c r="BX20" s="1103"/>
      <c r="BY20" s="1103"/>
      <c r="BZ20" s="1103"/>
      <c r="CA20" s="1103"/>
      <c r="CB20" s="1103"/>
      <c r="CC20" s="1103"/>
      <c r="CD20" s="1103"/>
      <c r="CE20" s="1103"/>
      <c r="CF20" s="1103"/>
      <c r="CG20" s="1103"/>
      <c r="CH20" s="1103"/>
      <c r="CI20" s="1103"/>
      <c r="CJ20" s="1103"/>
      <c r="CK20" s="1103"/>
      <c r="CL20" s="1105"/>
      <c r="CM20" s="1105"/>
      <c r="CN20" s="1105"/>
      <c r="CO20" s="1105"/>
      <c r="CP20" s="1105"/>
      <c r="CQ20" s="1105"/>
      <c r="CR20" s="1105"/>
      <c r="CS20" s="1105"/>
      <c r="CT20" s="1105"/>
      <c r="CU20" s="1105"/>
      <c r="CV20" s="1105"/>
      <c r="CW20" s="1105"/>
      <c r="CX20" s="1105"/>
      <c r="CY20" s="1105"/>
      <c r="CZ20" s="1105"/>
      <c r="DA20" s="1105"/>
      <c r="DB20" s="1105"/>
      <c r="DC20" s="1105"/>
      <c r="DD20" s="1105"/>
      <c r="DE20" s="1105"/>
      <c r="DF20" s="1105"/>
      <c r="DG20" s="1105"/>
      <c r="DH20" s="1105"/>
      <c r="DI20" s="1105"/>
      <c r="DJ20" s="1105"/>
      <c r="DK20" s="1105"/>
      <c r="DL20" s="1105"/>
      <c r="DM20" s="1105"/>
      <c r="DN20" s="1105"/>
      <c r="DO20" s="1105"/>
      <c r="DP20" s="1105"/>
      <c r="DQ20" s="1105"/>
      <c r="DR20" s="1105"/>
      <c r="DS20" s="1105"/>
      <c r="DT20" s="1105"/>
      <c r="DU20" s="1105"/>
      <c r="DV20" s="1105"/>
      <c r="DW20" s="1105"/>
      <c r="DX20" s="1105"/>
      <c r="DY20" s="1105"/>
      <c r="DZ20" s="1105"/>
      <c r="EA20" s="1105"/>
      <c r="EB20" s="1105"/>
      <c r="EC20" s="1105"/>
      <c r="ED20" s="1105"/>
      <c r="EE20" s="1105"/>
      <c r="EF20" s="1105"/>
      <c r="EG20" s="1105"/>
      <c r="EH20" s="1105"/>
      <c r="EI20" s="1105"/>
      <c r="EJ20" s="1105"/>
      <c r="EK20" s="1105"/>
      <c r="EL20" s="1105"/>
      <c r="EM20" s="1105"/>
      <c r="EN20" s="1105"/>
      <c r="EO20" s="1105"/>
      <c r="EP20" s="1105"/>
      <c r="EQ20" s="1105"/>
      <c r="ER20" s="1105"/>
      <c r="ES20" s="1105"/>
      <c r="ET20" s="1105"/>
      <c r="EU20" s="1105"/>
      <c r="EV20" s="1105"/>
      <c r="EW20" s="1105"/>
      <c r="EX20" s="1105"/>
      <c r="EY20" s="1105"/>
      <c r="EZ20" s="1105"/>
      <c r="FA20" s="1105"/>
      <c r="FB20" s="1105"/>
      <c r="FC20" s="1105"/>
      <c r="FD20" s="1105"/>
      <c r="FE20" s="1105"/>
      <c r="FF20" s="1105"/>
      <c r="FG20" s="1105"/>
      <c r="FH20" s="1105"/>
      <c r="FI20" s="1105"/>
      <c r="FJ20" s="1105"/>
      <c r="FK20" s="1105"/>
      <c r="FL20" s="1105"/>
      <c r="FM20" s="1105"/>
      <c r="FN20" s="1105"/>
      <c r="FO20" s="1105"/>
      <c r="FP20" s="1105"/>
      <c r="FQ20" s="1105"/>
      <c r="FR20" s="1105"/>
      <c r="FS20" s="1105"/>
      <c r="FT20" s="1105"/>
      <c r="FU20" s="1105"/>
      <c r="FV20" s="1105"/>
      <c r="FW20" s="1105"/>
      <c r="FX20" s="1106"/>
    </row>
    <row r="21" spans="1:184" s="839" customFormat="1" ht="12" customHeight="1">
      <c r="A21" s="853"/>
      <c r="B21" s="853"/>
      <c r="C21" s="853"/>
      <c r="D21" s="853"/>
      <c r="E21" s="853"/>
      <c r="F21" s="851"/>
      <c r="G21" s="851"/>
      <c r="H21" s="851"/>
      <c r="I21" s="851"/>
      <c r="J21" s="851"/>
      <c r="K21" s="851"/>
      <c r="L21" s="851"/>
      <c r="M21" s="851"/>
      <c r="N21" s="851"/>
      <c r="O21" s="851"/>
      <c r="P21" s="851"/>
      <c r="Q21" s="851"/>
      <c r="R21" s="851"/>
      <c r="S21" s="854"/>
      <c r="T21" s="854"/>
      <c r="U21" s="851"/>
      <c r="V21" s="851"/>
      <c r="W21" s="851"/>
      <c r="X21" s="851"/>
      <c r="Y21" s="851"/>
      <c r="Z21" s="851"/>
      <c r="AA21" s="851"/>
      <c r="AB21" s="851"/>
      <c r="AC21" s="851"/>
      <c r="AD21" s="851"/>
      <c r="AE21" s="851"/>
      <c r="AF21" s="851"/>
      <c r="AG21" s="851"/>
      <c r="AH21" s="851"/>
      <c r="AI21" s="851"/>
      <c r="AJ21" s="851"/>
      <c r="AK21" s="851"/>
      <c r="AL21" s="851"/>
      <c r="AM21" s="851"/>
      <c r="AN21" s="851"/>
      <c r="AO21" s="851"/>
      <c r="AP21" s="851"/>
      <c r="AQ21" s="851"/>
      <c r="AR21" s="851"/>
      <c r="AS21" s="851"/>
      <c r="AT21" s="851"/>
      <c r="AU21" s="851"/>
      <c r="AV21" s="851"/>
      <c r="AW21" s="851"/>
      <c r="AX21" s="851"/>
      <c r="AY21" s="851"/>
      <c r="AZ21" s="851"/>
      <c r="BA21" s="851"/>
      <c r="BB21" s="851"/>
      <c r="BC21" s="851"/>
      <c r="BD21" s="851"/>
      <c r="BE21" s="851"/>
      <c r="BF21" s="851"/>
      <c r="BG21" s="851"/>
      <c r="BH21" s="851"/>
      <c r="BI21" s="851"/>
      <c r="BJ21" s="851"/>
      <c r="BK21" s="851"/>
      <c r="BL21" s="851"/>
      <c r="BM21" s="851"/>
      <c r="BN21" s="851"/>
      <c r="BO21" s="851"/>
      <c r="BP21" s="851"/>
      <c r="BQ21" s="851"/>
      <c r="BR21" s="851"/>
      <c r="BS21" s="851"/>
      <c r="BT21" s="851"/>
      <c r="BU21" s="851"/>
      <c r="BV21" s="851"/>
      <c r="BW21" s="851"/>
      <c r="BX21" s="851"/>
      <c r="BY21" s="851"/>
      <c r="BZ21" s="851"/>
      <c r="CA21" s="851"/>
      <c r="CB21" s="851"/>
      <c r="CC21" s="851"/>
      <c r="CD21" s="851"/>
      <c r="CE21" s="851"/>
      <c r="CF21" s="851"/>
      <c r="CG21" s="851"/>
      <c r="CH21" s="851"/>
      <c r="CI21" s="851"/>
      <c r="CJ21" s="851"/>
      <c r="CK21" s="851"/>
      <c r="CL21" s="851"/>
      <c r="CM21" s="851"/>
      <c r="CN21" s="851"/>
      <c r="CO21" s="851"/>
      <c r="CP21" s="851"/>
      <c r="CQ21" s="851"/>
      <c r="CR21" s="851"/>
      <c r="CS21" s="851"/>
      <c r="CT21" s="851"/>
      <c r="CU21" s="851"/>
      <c r="CV21" s="851"/>
      <c r="CW21" s="851"/>
      <c r="CX21" s="851"/>
      <c r="CY21" s="851"/>
      <c r="CZ21" s="851"/>
      <c r="DA21" s="851"/>
      <c r="DB21" s="851"/>
      <c r="DC21" s="851"/>
      <c r="DD21" s="851"/>
      <c r="DE21" s="851"/>
      <c r="DF21" s="851"/>
      <c r="DG21" s="851"/>
      <c r="DH21" s="851"/>
      <c r="DI21" s="851"/>
      <c r="DJ21" s="851"/>
      <c r="DK21" s="851"/>
      <c r="DL21" s="851"/>
      <c r="DM21" s="851"/>
      <c r="DN21" s="851"/>
      <c r="DO21" s="851"/>
      <c r="DP21" s="851"/>
      <c r="DQ21" s="851"/>
      <c r="DR21" s="851"/>
      <c r="DS21" s="851"/>
      <c r="DT21" s="851"/>
      <c r="DU21" s="851"/>
      <c r="DV21" s="851"/>
      <c r="DW21" s="851"/>
      <c r="DX21" s="851"/>
      <c r="DY21" s="851"/>
      <c r="DZ21" s="851"/>
      <c r="EA21" s="851"/>
      <c r="EB21" s="851"/>
      <c r="EC21" s="851"/>
      <c r="ED21" s="851"/>
      <c r="EE21" s="851"/>
      <c r="EF21" s="851"/>
      <c r="EG21" s="851"/>
      <c r="EH21" s="851"/>
      <c r="EI21" s="851"/>
      <c r="EJ21" s="851"/>
      <c r="EK21" s="851"/>
      <c r="EL21" s="851"/>
      <c r="EM21" s="851"/>
      <c r="EN21" s="851"/>
      <c r="EO21" s="851"/>
      <c r="EP21" s="851"/>
      <c r="EQ21" s="851"/>
      <c r="ER21" s="851"/>
      <c r="ES21" s="851"/>
      <c r="ET21" s="851"/>
      <c r="EU21" s="851"/>
      <c r="EV21" s="851"/>
      <c r="EW21" s="851"/>
      <c r="EX21" s="851"/>
      <c r="EY21" s="851"/>
      <c r="EZ21" s="851"/>
      <c r="FA21" s="851"/>
      <c r="FB21" s="851"/>
      <c r="FC21" s="851"/>
      <c r="FD21" s="851"/>
      <c r="FE21" s="851"/>
      <c r="FF21" s="851"/>
      <c r="FG21" s="851"/>
      <c r="FH21" s="851"/>
      <c r="FI21" s="851"/>
      <c r="FJ21" s="851"/>
      <c r="FK21" s="851"/>
      <c r="FL21" s="851"/>
      <c r="FM21" s="851"/>
      <c r="FN21" s="851"/>
      <c r="FO21" s="851"/>
      <c r="FP21" s="851"/>
      <c r="FQ21" s="851"/>
      <c r="FR21" s="851"/>
      <c r="FS21" s="851"/>
      <c r="FT21" s="851"/>
      <c r="FU21" s="851"/>
      <c r="FV21" s="851"/>
      <c r="FW21" s="851"/>
      <c r="FX21" s="853"/>
      <c r="FY21" s="853"/>
      <c r="FZ21" s="853"/>
      <c r="GA21" s="853"/>
      <c r="GB21" s="853"/>
    </row>
    <row r="22" spans="1:184" s="839" customFormat="1" ht="12" customHeight="1">
      <c r="A22" s="853"/>
      <c r="B22" s="853"/>
      <c r="C22" s="853"/>
      <c r="D22" s="853"/>
      <c r="E22" s="853"/>
      <c r="FX22" s="853"/>
      <c r="FY22" s="853"/>
      <c r="FZ22" s="853"/>
      <c r="GA22" s="853"/>
      <c r="GB22" s="853"/>
    </row>
    <row r="23" spans="1:184" s="971" customFormat="1" ht="12" customHeight="1">
      <c r="A23" s="970"/>
      <c r="B23" s="970"/>
      <c r="C23" s="970"/>
      <c r="D23" s="970"/>
      <c r="E23" s="970"/>
      <c r="O23" s="972"/>
      <c r="P23" s="972"/>
      <c r="Q23" s="972"/>
      <c r="R23" s="972"/>
      <c r="S23" s="972"/>
      <c r="T23" s="972"/>
      <c r="U23" s="972"/>
      <c r="V23" s="972"/>
      <c r="W23" s="972"/>
      <c r="X23" s="972"/>
      <c r="Y23" s="972"/>
      <c r="Z23" s="972"/>
      <c r="AA23" s="972"/>
      <c r="AB23" s="972"/>
      <c r="AC23" s="972"/>
      <c r="AD23" s="972"/>
      <c r="AE23" s="972"/>
      <c r="AF23" s="972"/>
      <c r="AG23" s="972"/>
      <c r="AH23" s="972"/>
      <c r="AI23" s="972"/>
      <c r="AJ23" s="972"/>
      <c r="AK23" s="972"/>
      <c r="AL23" s="972"/>
      <c r="AM23" s="972"/>
      <c r="AN23" s="972"/>
      <c r="AO23" s="972"/>
      <c r="AP23" s="972"/>
      <c r="AQ23" s="972"/>
      <c r="AR23" s="972"/>
      <c r="AS23" s="972"/>
      <c r="AT23" s="972"/>
      <c r="AU23" s="972"/>
      <c r="AV23" s="972"/>
      <c r="AW23" s="972"/>
      <c r="AX23" s="972"/>
      <c r="AY23" s="972"/>
      <c r="AZ23" s="972"/>
      <c r="BA23" s="972"/>
      <c r="BB23" s="972"/>
      <c r="BC23" s="972"/>
      <c r="BD23" s="972"/>
      <c r="BE23" s="972"/>
      <c r="BF23" s="972"/>
      <c r="BG23" s="972"/>
      <c r="BH23" s="972"/>
      <c r="BI23" s="972"/>
      <c r="BJ23" s="972"/>
      <c r="BK23" s="972"/>
      <c r="BL23" s="972"/>
      <c r="BM23" s="972"/>
      <c r="BN23" s="972"/>
      <c r="BO23" s="972"/>
      <c r="BP23" s="972"/>
      <c r="BQ23" s="972"/>
      <c r="BR23" s="972"/>
      <c r="BS23" s="972"/>
      <c r="BT23" s="973"/>
      <c r="BU23" s="973"/>
      <c r="BV23" s="973"/>
      <c r="BW23" s="973"/>
      <c r="BX23" s="973"/>
      <c r="BY23" s="973"/>
      <c r="BZ23" s="973"/>
      <c r="CA23" s="973"/>
      <c r="CB23" s="973"/>
      <c r="CC23" s="973"/>
      <c r="CD23" s="973"/>
      <c r="CE23" s="973"/>
      <c r="CF23" s="973"/>
      <c r="CG23" s="973"/>
      <c r="CH23" s="973"/>
      <c r="CI23" s="973"/>
      <c r="CJ23" s="973"/>
      <c r="CK23" s="973"/>
      <c r="CL23" s="973"/>
      <c r="CM23" s="973"/>
      <c r="CN23" s="973"/>
      <c r="CO23" s="973"/>
      <c r="CP23" s="973"/>
      <c r="CQ23" s="973"/>
      <c r="CR23" s="973"/>
      <c r="CS23" s="973"/>
      <c r="CT23" s="973"/>
      <c r="CU23" s="973"/>
      <c r="CV23" s="973"/>
      <c r="CW23" s="973"/>
      <c r="CX23" s="973"/>
      <c r="CY23" s="973"/>
      <c r="CZ23" s="973"/>
      <c r="DA23" s="973"/>
      <c r="DB23" s="973"/>
      <c r="DC23" s="973"/>
      <c r="DD23" s="973"/>
      <c r="DE23" s="973"/>
      <c r="DF23" s="973"/>
      <c r="DG23" s="973"/>
      <c r="DH23" s="973"/>
      <c r="DI23" s="973"/>
      <c r="DJ23" s="973"/>
      <c r="DK23" s="973"/>
      <c r="DL23" s="973"/>
      <c r="DM23" s="973"/>
      <c r="DN23" s="973"/>
      <c r="DO23" s="973"/>
      <c r="DP23" s="973"/>
      <c r="DQ23" s="973"/>
      <c r="DR23" s="973"/>
      <c r="DS23" s="973"/>
      <c r="DT23" s="973"/>
      <c r="DU23" s="973"/>
      <c r="DV23" s="973"/>
      <c r="DW23" s="973"/>
      <c r="DX23" s="973"/>
      <c r="FX23" s="970"/>
      <c r="FY23" s="970"/>
      <c r="FZ23" s="970"/>
      <c r="GA23" s="970"/>
      <c r="GB23" s="970"/>
    </row>
    <row r="24" spans="1:184" ht="12" customHeight="1">
      <c r="S24" s="850"/>
      <c r="T24" s="850"/>
      <c r="U24" s="850"/>
      <c r="V24" s="850"/>
      <c r="W24" s="850"/>
      <c r="X24" s="850"/>
      <c r="Y24" s="850"/>
      <c r="Z24" s="850"/>
      <c r="AA24" s="850"/>
      <c r="AB24" s="850"/>
      <c r="FX24" s="850"/>
      <c r="FY24" s="850"/>
      <c r="FZ24" s="850"/>
      <c r="GA24" s="850"/>
      <c r="GB24" s="850"/>
    </row>
  </sheetData>
  <sheetProtection formatColumns="0" formatRows="0" insertRows="0" deleteColumns="0" deleteRows="0" sort="0" autoFilter="0"/>
  <mergeCells count="198">
    <mergeCell ref="F10:FV10"/>
    <mergeCell ref="F5:BS5"/>
    <mergeCell ref="F6:BS6"/>
    <mergeCell ref="DG13:DJ13"/>
    <mergeCell ref="CH13:CK13"/>
    <mergeCell ref="FE11:FE17"/>
    <mergeCell ref="FF11:FF17"/>
    <mergeCell ref="FG11:FG17"/>
    <mergeCell ref="FH11:FH17"/>
    <mergeCell ref="FI11:FI17"/>
    <mergeCell ref="FJ11:FJ17"/>
    <mergeCell ref="EY11:EY17"/>
    <mergeCell ref="EZ11:EZ17"/>
    <mergeCell ref="FA11:FA17"/>
    <mergeCell ref="FB11:FB17"/>
    <mergeCell ref="FC11:FC17"/>
    <mergeCell ref="FD11:FD17"/>
    <mergeCell ref="FS11:FS17"/>
    <mergeCell ref="FT11:FT17"/>
    <mergeCell ref="FU11:FU17"/>
    <mergeCell ref="FV11:FV17"/>
    <mergeCell ref="FK11:FK17"/>
    <mergeCell ref="FL11:FL17"/>
    <mergeCell ref="FM11:FM17"/>
    <mergeCell ref="FN11:FN17"/>
    <mergeCell ref="FO11:FO17"/>
    <mergeCell ref="FP11:FP17"/>
    <mergeCell ref="FQ11:FQ17"/>
    <mergeCell ref="FR11:FR17"/>
    <mergeCell ref="EV11:EV17"/>
    <mergeCell ref="EW11:EW17"/>
    <mergeCell ref="EX11:EX17"/>
    <mergeCell ref="EM11:EM17"/>
    <mergeCell ref="EN11:EN17"/>
    <mergeCell ref="EO11:EO17"/>
    <mergeCell ref="EP11:EP17"/>
    <mergeCell ref="EQ11:EQ17"/>
    <mergeCell ref="ER11:ER17"/>
    <mergeCell ref="ES11:ES17"/>
    <mergeCell ref="ET11:ET17"/>
    <mergeCell ref="EU11:EU17"/>
    <mergeCell ref="EC11:EC17"/>
    <mergeCell ref="ED11:ED17"/>
    <mergeCell ref="EE11:EE17"/>
    <mergeCell ref="EF11:EF17"/>
    <mergeCell ref="EG11:EG17"/>
    <mergeCell ref="EH11:EH17"/>
    <mergeCell ref="DW11:DW17"/>
    <mergeCell ref="DX11:DX17"/>
    <mergeCell ref="DY11:DY17"/>
    <mergeCell ref="DZ11:DZ17"/>
    <mergeCell ref="EA11:EA17"/>
    <mergeCell ref="EB11:EB17"/>
    <mergeCell ref="DG16:DH16"/>
    <mergeCell ref="DQ11:DQ17"/>
    <mergeCell ref="DR11:DR17"/>
    <mergeCell ref="DS11:DS17"/>
    <mergeCell ref="DT11:DT17"/>
    <mergeCell ref="DI14:DJ15"/>
    <mergeCell ref="DI16:DJ16"/>
    <mergeCell ref="DU11:DU17"/>
    <mergeCell ref="DV11:DV17"/>
    <mergeCell ref="DK11:DK17"/>
    <mergeCell ref="DL11:DL17"/>
    <mergeCell ref="DM11:DM17"/>
    <mergeCell ref="DN11:DN17"/>
    <mergeCell ref="DO11:DO17"/>
    <mergeCell ref="DP11:DP17"/>
    <mergeCell ref="BX16:BY16"/>
    <mergeCell ref="BZ13:CA15"/>
    <mergeCell ref="BZ16:CA16"/>
    <mergeCell ref="CB12:CC12"/>
    <mergeCell ref="CB13:CC15"/>
    <mergeCell ref="CB16:CC16"/>
    <mergeCell ref="CD13:CE15"/>
    <mergeCell ref="CD16:CE16"/>
    <mergeCell ref="CF13:CG15"/>
    <mergeCell ref="CF16:CG16"/>
    <mergeCell ref="F11:F17"/>
    <mergeCell ref="G11:G17"/>
    <mergeCell ref="H11:H17"/>
    <mergeCell ref="I11:I17"/>
    <mergeCell ref="J11:J17"/>
    <mergeCell ref="K11:K17"/>
    <mergeCell ref="BP11:BP17"/>
    <mergeCell ref="BE11:BE17"/>
    <mergeCell ref="BF11:BF17"/>
    <mergeCell ref="BG11:BG17"/>
    <mergeCell ref="BH11:BH17"/>
    <mergeCell ref="BI11:BI17"/>
    <mergeCell ref="BJ11:BJ17"/>
    <mergeCell ref="BC11:BC17"/>
    <mergeCell ref="BD11:BD17"/>
    <mergeCell ref="O13:R13"/>
    <mergeCell ref="U13:X13"/>
    <mergeCell ref="Y13:AB13"/>
    <mergeCell ref="BL11:BL17"/>
    <mergeCell ref="BM11:BM17"/>
    <mergeCell ref="BN11:BN17"/>
    <mergeCell ref="BO11:BO17"/>
    <mergeCell ref="Y14:Z15"/>
    <mergeCell ref="Y16:Z16"/>
    <mergeCell ref="BT8:CX8"/>
    <mergeCell ref="CY8:DX8"/>
    <mergeCell ref="L11:L17"/>
    <mergeCell ref="M11:M17"/>
    <mergeCell ref="N11:N17"/>
    <mergeCell ref="O11:AB11"/>
    <mergeCell ref="AC11:AC17"/>
    <mergeCell ref="AD11:AD17"/>
    <mergeCell ref="O12:R12"/>
    <mergeCell ref="S12:AB12"/>
    <mergeCell ref="AM11:AM17"/>
    <mergeCell ref="AN11:AN17"/>
    <mergeCell ref="AO11:AO17"/>
    <mergeCell ref="AP11:AP17"/>
    <mergeCell ref="AQ11:AQ17"/>
    <mergeCell ref="AR11:AR17"/>
    <mergeCell ref="AS11:AS17"/>
    <mergeCell ref="AT11:AT17"/>
    <mergeCell ref="AU11:AU17"/>
    <mergeCell ref="AV11:AV17"/>
    <mergeCell ref="AW11:AW17"/>
    <mergeCell ref="AX11:AX17"/>
    <mergeCell ref="BK11:BK17"/>
    <mergeCell ref="BQ11:BQ17"/>
    <mergeCell ref="DY8:FV8"/>
    <mergeCell ref="FW8:FW17"/>
    <mergeCell ref="AE11:AE17"/>
    <mergeCell ref="AF11:AF17"/>
    <mergeCell ref="EI11:EI17"/>
    <mergeCell ref="EJ11:EJ17"/>
    <mergeCell ref="EK11:EK17"/>
    <mergeCell ref="EL11:EL17"/>
    <mergeCell ref="CL11:CL17"/>
    <mergeCell ref="CM11:CM17"/>
    <mergeCell ref="CN11:CN17"/>
    <mergeCell ref="CO11:CO17"/>
    <mergeCell ref="AG11:AG17"/>
    <mergeCell ref="AH11:AH17"/>
    <mergeCell ref="AI11:AI17"/>
    <mergeCell ref="AJ11:AJ17"/>
    <mergeCell ref="AK11:AK17"/>
    <mergeCell ref="AL11:AL17"/>
    <mergeCell ref="AY11:AY17"/>
    <mergeCell ref="AZ11:AZ17"/>
    <mergeCell ref="BA11:BA17"/>
    <mergeCell ref="BB11:BB17"/>
    <mergeCell ref="BV13:BW15"/>
    <mergeCell ref="O8:BS8"/>
    <mergeCell ref="AA14:AB15"/>
    <mergeCell ref="AA16:AB16"/>
    <mergeCell ref="BT13:BU15"/>
    <mergeCell ref="BT16:BU16"/>
    <mergeCell ref="O14:P15"/>
    <mergeCell ref="O16:P16"/>
    <mergeCell ref="Q14:R15"/>
    <mergeCell ref="Q16:R16"/>
    <mergeCell ref="S13:T15"/>
    <mergeCell ref="S16:T16"/>
    <mergeCell ref="U14:V15"/>
    <mergeCell ref="W14:X15"/>
    <mergeCell ref="U16:V16"/>
    <mergeCell ref="W16:X16"/>
    <mergeCell ref="BR11:BR17"/>
    <mergeCell ref="BS11:BS17"/>
    <mergeCell ref="BT11:CK11"/>
    <mergeCell ref="BT12:BW12"/>
    <mergeCell ref="BX12:CA12"/>
    <mergeCell ref="CD12:CK12"/>
    <mergeCell ref="BV16:BW16"/>
    <mergeCell ref="BX13:BY15"/>
    <mergeCell ref="CH14:CI15"/>
    <mergeCell ref="CH16:CI16"/>
    <mergeCell ref="CJ14:CK15"/>
    <mergeCell ref="CJ16:CK16"/>
    <mergeCell ref="CY13:CZ15"/>
    <mergeCell ref="CY16:CZ16"/>
    <mergeCell ref="DA13:DB15"/>
    <mergeCell ref="DA16:DB16"/>
    <mergeCell ref="CV11:CV17"/>
    <mergeCell ref="CW11:CW17"/>
    <mergeCell ref="CX11:CX17"/>
    <mergeCell ref="CY11:DJ11"/>
    <mergeCell ref="CY12:DD12"/>
    <mergeCell ref="DG12:DJ12"/>
    <mergeCell ref="CP11:CP17"/>
    <mergeCell ref="CQ11:CQ17"/>
    <mergeCell ref="CR11:CR17"/>
    <mergeCell ref="CS11:CS17"/>
    <mergeCell ref="CT11:CT17"/>
    <mergeCell ref="CU11:CU17"/>
    <mergeCell ref="DC13:DD15"/>
    <mergeCell ref="DC16:DD16"/>
    <mergeCell ref="DE12:DF12"/>
    <mergeCell ref="DE13:DF15"/>
    <mergeCell ref="DE16:DF16"/>
    <mergeCell ref="DG14:DH15"/>
  </mergeCells>
  <dataValidations count="1">
    <dataValidation allowBlank="1" showInputMessage="1" showErrorMessage="1" sqref="AA14:AB16 U16:Z16"/>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AP57"/>
  <sheetViews>
    <sheetView showGridLines="0" topLeftCell="P23" zoomScale="90" workbookViewId="0"/>
  </sheetViews>
  <sheetFormatPr defaultColWidth="10.5703125" defaultRowHeight="14.25" customHeight="1"/>
  <cols>
    <col min="1" max="1" width="10.5703125" style="1284" hidden="1"/>
    <col min="2" max="2" width="11" style="1284" hidden="1" customWidth="1"/>
    <col min="3" max="3" width="10.5703125" style="1284" hidden="1"/>
    <col min="4" max="4" width="11.85546875" style="1284" hidden="1" customWidth="1"/>
    <col min="5" max="5" width="10" style="1284" hidden="1" customWidth="1"/>
    <col min="6" max="6" width="8.7109375" style="1284" hidden="1" customWidth="1"/>
    <col min="7" max="7" width="7.5703125" style="1284" hidden="1" customWidth="1"/>
    <col min="8" max="8" width="11.42578125" style="1284" hidden="1" customWidth="1"/>
    <col min="9" max="9" width="14.140625" style="1284" hidden="1" customWidth="1"/>
    <col min="10" max="10" width="9.85546875" style="1284" hidden="1" customWidth="1"/>
    <col min="11" max="11" width="14.7109375" style="1284" hidden="1" customWidth="1"/>
    <col min="12" max="12" width="19.140625" style="1799" hidden="1" customWidth="1"/>
    <col min="13" max="14" width="12.28515625" style="1696" hidden="1" customWidth="1"/>
    <col min="15" max="15" width="23.42578125" style="1696" hidden="1" customWidth="1"/>
    <col min="16" max="16" width="3.7109375" style="1803" customWidth="1"/>
    <col min="17" max="18" width="3.7109375" style="265" customWidth="1"/>
    <col min="19" max="19" width="12.7109375" style="1806" customWidth="1"/>
    <col min="20" max="20" width="35.7109375" style="1552" customWidth="1"/>
    <col min="21" max="21" width="0.140625" style="1552" customWidth="1"/>
    <col min="22" max="24" width="24.7109375" style="1552" hidden="1" customWidth="1"/>
    <col min="25" max="25" width="11.7109375" style="1552" hidden="1" customWidth="1"/>
    <col min="26" max="26" width="3.7109375" style="1552" hidden="1" customWidth="1"/>
    <col min="27" max="27" width="11.7109375" style="1552" hidden="1" customWidth="1"/>
    <col min="28" max="28" width="8.5703125" style="1552" hidden="1" customWidth="1"/>
    <col min="29" max="31" width="24.7109375" style="1552" customWidth="1"/>
    <col min="32" max="32" width="11.7109375" style="1552" customWidth="1"/>
    <col min="33" max="33" width="3.7109375" style="1552" customWidth="1"/>
    <col min="34" max="34" width="11.7109375" style="1552" customWidth="1"/>
    <col min="35" max="35" width="8.5703125" style="1552" hidden="1" customWidth="1"/>
    <col min="36" max="36" width="4.7109375" style="1552" customWidth="1"/>
    <col min="37" max="37" width="115.7109375" style="1552" customWidth="1"/>
    <col min="38" max="39" width="10.5703125" style="1559"/>
    <col min="40" max="40" width="11.140625" style="1559" customWidth="1"/>
    <col min="41" max="42" width="10.5703125" style="1559"/>
  </cols>
  <sheetData>
    <row r="1" spans="1:42" ht="14.25" hidden="1" customHeight="1">
      <c r="X1" s="249"/>
      <c r="Y1" s="249"/>
      <c r="AE1" s="249"/>
      <c r="AF1" s="249"/>
    </row>
    <row r="2" spans="1:42" ht="23.25" hidden="1" customHeight="1">
      <c r="A2" s="1281"/>
      <c r="B2" s="1281"/>
      <c r="C2" s="1281"/>
      <c r="D2" s="1281"/>
      <c r="E2" s="2076">
        <v>1</v>
      </c>
      <c r="F2" s="1281"/>
      <c r="G2" s="1281"/>
      <c r="H2" s="1281"/>
      <c r="I2" s="1281"/>
      <c r="J2" s="1281"/>
      <c r="K2" s="1281"/>
      <c r="L2" s="1282"/>
      <c r="M2" s="1283"/>
      <c r="N2" s="1283"/>
      <c r="O2" s="1283"/>
      <c r="P2" s="282"/>
      <c r="Q2" s="281"/>
      <c r="R2" s="276"/>
      <c r="S2" s="1405" t="e">
        <f>INDEX(PT_DIFFERENTIATION_NUM_NTAR,MATCH(A2,PT_DIFFERENTIATION_NTAR_ID,0))</f>
        <v>#N/A</v>
      </c>
      <c r="T2" s="212" t="s">
        <v>128</v>
      </c>
      <c r="U2" s="214"/>
      <c r="V2" s="2070"/>
      <c r="W2" s="2071"/>
      <c r="X2" s="2071"/>
      <c r="Y2" s="2071"/>
      <c r="Z2" s="2071"/>
      <c r="AA2" s="2071"/>
      <c r="AB2" s="2072"/>
      <c r="AC2" s="2070" t="e">
        <f>INDEX(PT_DIFFERENTIATION_NTAR,MATCH(A2,PT_DIFFERENTIATION_NTAR_ID,0))</f>
        <v>#N/A</v>
      </c>
      <c r="AD2" s="2071"/>
      <c r="AE2" s="2071"/>
      <c r="AF2" s="2071"/>
      <c r="AG2" s="2071"/>
      <c r="AH2" s="2071"/>
      <c r="AI2" s="2071"/>
      <c r="AJ2" s="2072"/>
      <c r="AK2" s="117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426"/>
      <c r="AN2" s="426" t="str">
        <f t="shared" ref="AN2:AN13" si="0">IF(T2="","",T2)</f>
        <v>Наименование тарифа</v>
      </c>
      <c r="AO2" s="426"/>
      <c r="AP2" s="426"/>
    </row>
    <row r="3" spans="1:42" ht="23.25" hidden="1" customHeight="1">
      <c r="A3" s="1281"/>
      <c r="B3" s="1281"/>
      <c r="C3" s="1281"/>
      <c r="D3" s="1281"/>
      <c r="E3" s="2077"/>
      <c r="F3" s="2076">
        <v>1</v>
      </c>
      <c r="G3" s="1281"/>
      <c r="H3" s="1281"/>
      <c r="I3" s="1281"/>
      <c r="J3" s="1281"/>
      <c r="K3" s="1281"/>
      <c r="L3" s="1282"/>
      <c r="M3" s="1283"/>
      <c r="N3" s="1283"/>
      <c r="O3" s="1283"/>
      <c r="P3" s="1399"/>
      <c r="Q3" s="273"/>
      <c r="R3" s="274"/>
      <c r="S3" s="1405" t="e">
        <f>INDEX(PT_DIFFERENTIATION_NUM_TER,MATCH(B3,PT_DIFFERENTIATION_TER_ID,0))</f>
        <v>#N/A</v>
      </c>
      <c r="T3" s="224" t="s">
        <v>460</v>
      </c>
      <c r="U3" s="214"/>
      <c r="V3" s="2070"/>
      <c r="W3" s="2071"/>
      <c r="X3" s="2071"/>
      <c r="Y3" s="2071"/>
      <c r="Z3" s="2071"/>
      <c r="AA3" s="2071"/>
      <c r="AB3" s="2072"/>
      <c r="AC3" s="2070" t="e">
        <f>INDEX(PT_DIFFERENTIATION_TER,MATCH(B3,PT_DIFFERENTIATION_TER_ID,0))</f>
        <v>#N/A</v>
      </c>
      <c r="AD3" s="2071"/>
      <c r="AE3" s="2071"/>
      <c r="AF3" s="2071"/>
      <c r="AG3" s="2071"/>
      <c r="AH3" s="2071"/>
      <c r="AI3" s="2071"/>
      <c r="AJ3" s="2072"/>
      <c r="AK3" s="1179" t="s">
        <v>461</v>
      </c>
      <c r="AM3" s="426"/>
      <c r="AN3" s="426" t="str">
        <f t="shared" si="0"/>
        <v>Территория действия тарифа</v>
      </c>
      <c r="AO3" s="426"/>
      <c r="AP3" s="426"/>
    </row>
    <row r="4" spans="1:42" ht="23.25" hidden="1" customHeight="1">
      <c r="A4" s="1281"/>
      <c r="B4" s="1281"/>
      <c r="C4" s="1281"/>
      <c r="D4" s="1281"/>
      <c r="E4" s="2077"/>
      <c r="F4" s="2077"/>
      <c r="G4" s="2076">
        <v>1</v>
      </c>
      <c r="H4" s="1281"/>
      <c r="I4" s="1281"/>
      <c r="J4" s="1281"/>
      <c r="K4" s="1281"/>
      <c r="L4" s="1282"/>
      <c r="M4" s="1283"/>
      <c r="N4" s="1283"/>
      <c r="O4" s="1283"/>
      <c r="P4" s="275"/>
      <c r="Q4" s="273"/>
      <c r="R4" s="274"/>
      <c r="S4" s="1405" t="e">
        <f>INDEX(PT_DIFFERENTIATION_NUM_CS,MATCH(C4,PT_DIFFERENTIATION_CS_ID,0))</f>
        <v>#N/A</v>
      </c>
      <c r="T4" s="225" t="s">
        <v>2052</v>
      </c>
      <c r="U4" s="214"/>
      <c r="V4" s="2070"/>
      <c r="W4" s="2071"/>
      <c r="X4" s="2071"/>
      <c r="Y4" s="2071"/>
      <c r="Z4" s="2071"/>
      <c r="AA4" s="2071"/>
      <c r="AB4" s="2072"/>
      <c r="AC4" s="2070" t="e">
        <f>INDEX(PT_DIFFERENTIATION_CS,MATCH(C4,PT_DIFFERENTIATION_CS_ID,0))</f>
        <v>#N/A</v>
      </c>
      <c r="AD4" s="2071"/>
      <c r="AE4" s="2071"/>
      <c r="AF4" s="2071"/>
      <c r="AG4" s="2071"/>
      <c r="AH4" s="2071"/>
      <c r="AI4" s="2071"/>
      <c r="AJ4" s="2072"/>
      <c r="AK4" s="1179" t="s">
        <v>2053</v>
      </c>
      <c r="AM4" s="426"/>
      <c r="AN4" s="426" t="str">
        <f t="shared" si="0"/>
        <v>Наименование централизованной системы горячего водоснабжения</v>
      </c>
      <c r="AO4" s="426"/>
      <c r="AP4" s="426"/>
    </row>
    <row r="5" spans="1:42" ht="23.25" hidden="1" customHeight="1">
      <c r="A5" s="1281"/>
      <c r="B5" s="1281"/>
      <c r="C5" s="1281"/>
      <c r="D5" s="1281"/>
      <c r="E5" s="2077"/>
      <c r="F5" s="2077"/>
      <c r="G5" s="2077"/>
      <c r="H5" s="2077"/>
      <c r="I5" s="2078" t="e">
        <f>S4&amp;".1"</f>
        <v>#N/A</v>
      </c>
      <c r="J5" s="1281"/>
      <c r="K5" s="1281"/>
      <c r="L5" s="1282"/>
      <c r="P5" s="1995">
        <v>1</v>
      </c>
      <c r="Q5" s="1393"/>
      <c r="R5" s="277"/>
      <c r="S5" s="1405" t="e">
        <f>$I5</f>
        <v>#N/A</v>
      </c>
      <c r="T5" s="200" t="s">
        <v>1678</v>
      </c>
      <c r="U5" s="214"/>
      <c r="V5" s="2176"/>
      <c r="W5" s="2177"/>
      <c r="X5" s="2177"/>
      <c r="Y5" s="2177"/>
      <c r="Z5" s="2177"/>
      <c r="AA5" s="2177"/>
      <c r="AB5" s="2178"/>
      <c r="AC5" s="2179"/>
      <c r="AD5" s="2180"/>
      <c r="AE5" s="2180"/>
      <c r="AF5" s="2180"/>
      <c r="AG5" s="2180"/>
      <c r="AH5" s="2180"/>
      <c r="AI5" s="2180"/>
      <c r="AJ5" s="2181"/>
      <c r="AK5" s="1179" t="s">
        <v>1679</v>
      </c>
      <c r="AM5" s="426"/>
      <c r="AN5" s="426" t="str">
        <f t="shared" si="0"/>
        <v>Наименование признака дифференциации</v>
      </c>
      <c r="AO5" s="426"/>
      <c r="AP5" s="426"/>
    </row>
    <row r="6" spans="1:42" ht="23.25" hidden="1" customHeight="1">
      <c r="A6" s="1281"/>
      <c r="B6" s="1281"/>
      <c r="C6" s="1281"/>
      <c r="D6" s="1281"/>
      <c r="E6" s="2077"/>
      <c r="F6" s="2077"/>
      <c r="G6" s="2077"/>
      <c r="H6" s="2077"/>
      <c r="I6" s="2079"/>
      <c r="J6" s="2078" t="e">
        <f>I5&amp;".1"</f>
        <v>#N/A</v>
      </c>
      <c r="K6" s="1281"/>
      <c r="L6" s="1282" t="s">
        <v>469</v>
      </c>
      <c r="P6" s="1995"/>
      <c r="Q6" s="1995">
        <v>1</v>
      </c>
      <c r="R6" s="278"/>
      <c r="S6" s="1405" t="e">
        <f>$J6</f>
        <v>#N/A</v>
      </c>
      <c r="T6" s="201" t="s">
        <v>470</v>
      </c>
      <c r="U6" s="214"/>
      <c r="V6" s="2064"/>
      <c r="W6" s="2065"/>
      <c r="X6" s="2065"/>
      <c r="Y6" s="2065"/>
      <c r="Z6" s="2065"/>
      <c r="AA6" s="2065"/>
      <c r="AB6" s="2066"/>
      <c r="AC6" s="2064"/>
      <c r="AD6" s="2065"/>
      <c r="AE6" s="2065"/>
      <c r="AF6" s="2065"/>
      <c r="AG6" s="2065"/>
      <c r="AH6" s="2065"/>
      <c r="AI6" s="2065"/>
      <c r="AJ6" s="2066"/>
      <c r="AK6" s="1228" t="s">
        <v>1680</v>
      </c>
      <c r="AM6" s="426"/>
      <c r="AN6" s="426" t="str">
        <f t="shared" si="0"/>
        <v>Группа потребителей</v>
      </c>
      <c r="AO6" s="426"/>
      <c r="AP6" s="426"/>
    </row>
    <row r="7" spans="1:42" ht="23.25" hidden="1" customHeight="1">
      <c r="A7" s="1281"/>
      <c r="B7" s="1281"/>
      <c r="C7" s="1281"/>
      <c r="D7" s="1281"/>
      <c r="E7" s="2077"/>
      <c r="F7" s="2077"/>
      <c r="G7" s="2077"/>
      <c r="H7" s="2077"/>
      <c r="I7" s="2079"/>
      <c r="J7" s="2079"/>
      <c r="K7" s="2078" t="e">
        <f>J6&amp;".1"</f>
        <v>#N/A</v>
      </c>
      <c r="L7" s="1282"/>
      <c r="P7" s="1995"/>
      <c r="Q7" s="1995"/>
      <c r="R7" s="278">
        <v>1</v>
      </c>
      <c r="S7" s="1405" t="e">
        <f>$K7</f>
        <v>#N/A</v>
      </c>
      <c r="T7" s="1354"/>
      <c r="U7" s="214"/>
      <c r="V7" s="664"/>
      <c r="W7" s="664"/>
      <c r="X7" s="1178"/>
      <c r="Y7" s="2080"/>
      <c r="Z7" s="1885" t="s">
        <v>59</v>
      </c>
      <c r="AA7" s="2080"/>
      <c r="AB7" s="1885" t="s">
        <v>59</v>
      </c>
      <c r="AC7" s="664"/>
      <c r="AD7" s="664"/>
      <c r="AE7" s="1178"/>
      <c r="AF7" s="2080"/>
      <c r="AG7" s="1885" t="s">
        <v>59</v>
      </c>
      <c r="AH7" s="2082"/>
      <c r="AI7" s="1885" t="s">
        <v>59</v>
      </c>
      <c r="AJ7" s="1355"/>
      <c r="AK7" s="2182"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437" t="e">
        <f ca="1">STRCHECKDATE(V8:AJ8)</f>
        <v>#NAME?</v>
      </c>
      <c r="AM7" s="426"/>
      <c r="AN7" s="426" t="str">
        <f t="shared" si="0"/>
        <v/>
      </c>
      <c r="AO7" s="426"/>
      <c r="AP7" s="426"/>
    </row>
    <row r="8" spans="1:42" ht="14.25" hidden="1" customHeight="1">
      <c r="A8" s="1281"/>
      <c r="B8" s="1281"/>
      <c r="C8" s="1281"/>
      <c r="D8" s="1281"/>
      <c r="E8" s="2077"/>
      <c r="F8" s="2077"/>
      <c r="G8" s="2077"/>
      <c r="H8" s="2077"/>
      <c r="I8" s="2079"/>
      <c r="J8" s="2079"/>
      <c r="K8" s="2078"/>
      <c r="L8" s="1282"/>
      <c r="P8" s="1995"/>
      <c r="Q8" s="1995"/>
      <c r="R8" s="278"/>
      <c r="S8" s="1402"/>
      <c r="T8" s="214"/>
      <c r="U8" s="214"/>
      <c r="V8" s="246"/>
      <c r="W8" s="246"/>
      <c r="X8" s="250" t="str">
        <f>Y7&amp;"-"&amp;AA7</f>
        <v>-</v>
      </c>
      <c r="Y8" s="2081"/>
      <c r="Z8" s="1885"/>
      <c r="AA8" s="2081"/>
      <c r="AB8" s="1885"/>
      <c r="AC8" s="246"/>
      <c r="AD8" s="246"/>
      <c r="AE8" s="250" t="str">
        <f>AF7&amp;"-"&amp;AH7</f>
        <v>-</v>
      </c>
      <c r="AF8" s="2081"/>
      <c r="AG8" s="1885"/>
      <c r="AH8" s="2083"/>
      <c r="AI8" s="1885"/>
      <c r="AJ8" s="1356"/>
      <c r="AK8" s="2182"/>
      <c r="AM8" s="426"/>
      <c r="AN8" s="426" t="str">
        <f t="shared" si="0"/>
        <v/>
      </c>
      <c r="AO8" s="426"/>
      <c r="AP8" s="426"/>
    </row>
    <row r="9" spans="1:42" ht="21" hidden="1" customHeight="1">
      <c r="A9" s="1281"/>
      <c r="B9" s="1281"/>
      <c r="C9" s="1281"/>
      <c r="D9" s="1281"/>
      <c r="E9" s="2077"/>
      <c r="F9" s="2077"/>
      <c r="G9" s="2077"/>
      <c r="H9" s="2077"/>
      <c r="I9" s="2079"/>
      <c r="J9" s="2078"/>
      <c r="K9" s="1281"/>
      <c r="L9" s="1282"/>
      <c r="P9" s="1995"/>
      <c r="Q9" s="1995"/>
      <c r="R9" s="277"/>
      <c r="S9" s="1200"/>
      <c r="T9" s="202" t="s">
        <v>1681</v>
      </c>
      <c r="U9" s="291"/>
      <c r="V9" s="291"/>
      <c r="W9" s="291"/>
      <c r="X9" s="291"/>
      <c r="Y9" s="291"/>
      <c r="Z9" s="291"/>
      <c r="AA9" s="291"/>
      <c r="AB9" s="291"/>
      <c r="AC9" s="291"/>
      <c r="AD9" s="291"/>
      <c r="AE9" s="291"/>
      <c r="AF9" s="291"/>
      <c r="AG9" s="291"/>
      <c r="AH9" s="291"/>
      <c r="AI9" s="291"/>
      <c r="AJ9" s="291"/>
      <c r="AK9" s="1179" t="s">
        <v>1682</v>
      </c>
      <c r="AM9" s="426"/>
      <c r="AN9" s="426" t="str">
        <f t="shared" si="0"/>
        <v>Добавить значение признака дифференциации</v>
      </c>
      <c r="AO9" s="426"/>
      <c r="AP9" s="426"/>
    </row>
    <row r="10" spans="1:42" ht="21" hidden="1" customHeight="1">
      <c r="A10" s="1281"/>
      <c r="B10" s="1281"/>
      <c r="C10" s="1281"/>
      <c r="D10" s="1281"/>
      <c r="E10" s="2077"/>
      <c r="F10" s="2077"/>
      <c r="G10" s="2077"/>
      <c r="H10" s="2077"/>
      <c r="I10" s="2078"/>
      <c r="J10" s="1281"/>
      <c r="K10" s="1281"/>
      <c r="L10" s="1282"/>
      <c r="P10" s="1995"/>
      <c r="Q10" s="1393"/>
      <c r="R10" s="277"/>
      <c r="S10" s="1200"/>
      <c r="T10" s="288" t="s">
        <v>475</v>
      </c>
      <c r="U10" s="291"/>
      <c r="V10" s="291"/>
      <c r="W10" s="291"/>
      <c r="X10" s="291"/>
      <c r="Y10" s="291"/>
      <c r="Z10" s="291"/>
      <c r="AA10" s="291"/>
      <c r="AB10" s="290"/>
      <c r="AC10" s="291"/>
      <c r="AD10" s="291"/>
      <c r="AE10" s="291"/>
      <c r="AF10" s="291"/>
      <c r="AG10" s="291"/>
      <c r="AH10" s="291"/>
      <c r="AI10" s="290"/>
      <c r="AJ10" s="291"/>
      <c r="AK10" s="1357"/>
      <c r="AM10" s="426"/>
      <c r="AN10" s="426" t="str">
        <f t="shared" si="0"/>
        <v>Добавить группу потребителей</v>
      </c>
      <c r="AO10" s="426"/>
      <c r="AP10" s="426"/>
    </row>
    <row r="11" spans="1:42" ht="21" hidden="1" customHeight="1">
      <c r="A11" s="1281"/>
      <c r="B11" s="1281"/>
      <c r="C11" s="1281"/>
      <c r="D11" s="1281"/>
      <c r="E11" s="2077"/>
      <c r="F11" s="2077"/>
      <c r="G11" s="2077"/>
      <c r="H11" s="2076"/>
      <c r="I11" s="1281"/>
      <c r="J11" s="1281"/>
      <c r="K11" s="1281"/>
      <c r="L11" s="1282"/>
      <c r="M11" s="1283"/>
      <c r="N11" s="1283"/>
      <c r="O11" s="462"/>
      <c r="P11" s="281"/>
      <c r="Q11" s="299"/>
      <c r="R11" s="276"/>
      <c r="S11" s="1200"/>
      <c r="T11" s="296" t="s">
        <v>1683</v>
      </c>
      <c r="U11" s="291"/>
      <c r="V11" s="291"/>
      <c r="W11" s="291"/>
      <c r="X11" s="291"/>
      <c r="Y11" s="291"/>
      <c r="Z11" s="291"/>
      <c r="AA11" s="291"/>
      <c r="AB11" s="290"/>
      <c r="AC11" s="291"/>
      <c r="AD11" s="291"/>
      <c r="AE11" s="291"/>
      <c r="AF11" s="291"/>
      <c r="AG11" s="291"/>
      <c r="AH11" s="291"/>
      <c r="AI11" s="290"/>
      <c r="AJ11" s="291"/>
      <c r="AK11" s="217"/>
      <c r="AM11" s="426"/>
      <c r="AN11" s="426" t="str">
        <f t="shared" si="0"/>
        <v>Добавить наименование признака дифференциации</v>
      </c>
      <c r="AO11" s="426"/>
      <c r="AP11" s="426"/>
    </row>
    <row r="12" spans="1:42" s="1559" customFormat="1" ht="14.25" hidden="1" customHeight="1">
      <c r="A12" s="1262"/>
      <c r="B12" s="1262"/>
      <c r="C12" s="1234"/>
      <c r="D12" s="1234"/>
      <c r="E12" s="2077"/>
      <c r="F12" s="2076"/>
      <c r="G12" s="1234"/>
      <c r="H12" s="1234"/>
      <c r="I12" s="1234"/>
      <c r="J12" s="1234"/>
      <c r="K12" s="1234"/>
      <c r="L12" s="1406"/>
      <c r="M12" s="1241"/>
      <c r="N12" s="1241"/>
      <c r="P12" s="1236"/>
      <c r="Q12" s="1237"/>
      <c r="R12" s="1236"/>
      <c r="S12" s="1242"/>
      <c r="T12" s="1245" t="s">
        <v>434</v>
      </c>
      <c r="U12" s="1244"/>
      <c r="V12" s="1244"/>
      <c r="W12" s="1244"/>
      <c r="X12" s="1244"/>
      <c r="Y12" s="1244"/>
      <c r="Z12" s="1244"/>
      <c r="AA12" s="1244"/>
      <c r="AB12" s="1244"/>
      <c r="AC12" s="1244"/>
      <c r="AD12" s="1244"/>
      <c r="AE12" s="1244"/>
      <c r="AF12" s="1244"/>
      <c r="AG12" s="1244"/>
      <c r="AH12" s="1244"/>
      <c r="AI12" s="1244"/>
      <c r="AJ12" s="1244"/>
      <c r="AK12" s="1244"/>
      <c r="AM12" s="702"/>
      <c r="AN12" s="702" t="str">
        <f t="shared" si="0"/>
        <v>Добавить централизованную систему для дифференциации</v>
      </c>
      <c r="AO12" s="702"/>
      <c r="AP12" s="702"/>
    </row>
    <row r="13" spans="1:42" s="1559" customFormat="1" ht="14.25" hidden="1" customHeight="1">
      <c r="A13" s="1262"/>
      <c r="B13" s="1262"/>
      <c r="C13" s="1262"/>
      <c r="D13" s="1262"/>
      <c r="E13" s="2076"/>
      <c r="F13" s="1262"/>
      <c r="G13" s="1262"/>
      <c r="H13" s="1262"/>
      <c r="I13" s="1262"/>
      <c r="J13" s="1262"/>
      <c r="K13" s="1262"/>
      <c r="L13" s="1265"/>
      <c r="M13" s="1241"/>
      <c r="N13" s="1241"/>
      <c r="O13" s="444"/>
      <c r="P13" s="308"/>
      <c r="Q13" s="1263"/>
      <c r="R13" s="308"/>
      <c r="S13" s="1242"/>
      <c r="T13" s="1245" t="s">
        <v>435</v>
      </c>
      <c r="U13" s="1244"/>
      <c r="V13" s="1244"/>
      <c r="W13" s="1244"/>
      <c r="X13" s="1244"/>
      <c r="Y13" s="1244"/>
      <c r="Z13" s="1244"/>
      <c r="AA13" s="1244"/>
      <c r="AB13" s="1244"/>
      <c r="AC13" s="1244"/>
      <c r="AD13" s="1244"/>
      <c r="AE13" s="1244"/>
      <c r="AF13" s="1244"/>
      <c r="AG13" s="1244"/>
      <c r="AH13" s="1244"/>
      <c r="AI13" s="1244"/>
      <c r="AJ13" s="1244"/>
      <c r="AK13" s="1244"/>
      <c r="AM13" s="426"/>
      <c r="AN13" s="426" t="str">
        <f t="shared" si="0"/>
        <v>Добавить территорию для дифференциации</v>
      </c>
      <c r="AO13" s="426"/>
      <c r="AP13" s="426"/>
    </row>
    <row r="14" spans="1:42" ht="14.25" hidden="1" customHeight="1">
      <c r="AB14" s="249"/>
      <c r="AI14" s="249"/>
    </row>
    <row r="15" spans="1:42" ht="14.25" hidden="1" customHeight="1">
      <c r="AC15" s="1278"/>
      <c r="AD15" s="1278"/>
      <c r="AE15" s="1279"/>
      <c r="AF15" s="2074"/>
      <c r="AG15" s="2073" t="s">
        <v>59</v>
      </c>
      <c r="AH15" s="2074"/>
      <c r="AI15" s="2073" t="s">
        <v>59</v>
      </c>
    </row>
    <row r="16" spans="1:42" ht="14.25" hidden="1" customHeight="1">
      <c r="AC16" s="1278"/>
      <c r="AD16" s="1278"/>
      <c r="AE16" s="250" t="str">
        <f>AF15&amp;"-"&amp;AH15</f>
        <v>-</v>
      </c>
      <c r="AF16" s="2073"/>
      <c r="AG16" s="2073"/>
      <c r="AH16" s="2073"/>
      <c r="AI16" s="2073"/>
    </row>
    <row r="17" spans="1:42" ht="14.25" hidden="1" customHeight="1">
      <c r="AI17" s="249"/>
    </row>
    <row r="18" spans="1:42" s="1284" customFormat="1" ht="22.5" hidden="1" customHeight="1">
      <c r="L18" s="1390"/>
      <c r="M18" s="1280"/>
      <c r="N18" s="1280"/>
      <c r="O18" s="1285" t="s">
        <v>477</v>
      </c>
      <c r="P18" s="1280"/>
      <c r="Q18" s="1289"/>
      <c r="R18" s="1289"/>
      <c r="S18" s="645"/>
      <c r="Y18" s="1285"/>
      <c r="AA18" s="1285"/>
      <c r="AF18" s="1285"/>
      <c r="AH18" s="1285"/>
      <c r="AL18" s="437"/>
      <c r="AM18" s="437"/>
      <c r="AN18" s="437"/>
      <c r="AO18" s="437"/>
      <c r="AP18" s="437"/>
    </row>
    <row r="19" spans="1:42" s="1284" customFormat="1" ht="14.25" hidden="1" customHeight="1">
      <c r="L19" s="1390"/>
      <c r="M19" s="1280"/>
      <c r="N19" s="1280"/>
      <c r="O19" s="1280"/>
      <c r="P19" s="1280"/>
      <c r="Q19" s="1289"/>
      <c r="R19" s="1289"/>
      <c r="S19" s="645"/>
      <c r="AL19" s="437"/>
      <c r="AM19" s="437"/>
      <c r="AN19" s="437"/>
      <c r="AO19" s="437"/>
      <c r="AP19" s="437"/>
    </row>
    <row r="20" spans="1:42" s="1284" customFormat="1" ht="12" hidden="1" customHeight="1">
      <c r="L20" s="1390"/>
      <c r="M20" s="1280"/>
      <c r="N20" s="1280"/>
      <c r="O20" s="1282" t="s">
        <v>478</v>
      </c>
      <c r="P20" s="1280"/>
      <c r="Q20" s="1358"/>
      <c r="R20" s="1358"/>
      <c r="S20" s="645"/>
      <c r="T20" s="1062" t="s">
        <v>479</v>
      </c>
      <c r="Z20" s="104" t="s">
        <v>480</v>
      </c>
      <c r="AB20" s="104" t="s">
        <v>481</v>
      </c>
      <c r="AC20" s="1062" t="s">
        <v>479</v>
      </c>
      <c r="AG20" s="104" t="s">
        <v>482</v>
      </c>
      <c r="AI20" s="104" t="s">
        <v>481</v>
      </c>
    </row>
    <row r="21" spans="1:42" ht="14.25" hidden="1" customHeight="1">
      <c r="O21" s="1282"/>
    </row>
    <row r="22" spans="1:42" ht="14.25" hidden="1" customHeight="1">
      <c r="O22" s="1282"/>
    </row>
    <row r="23" spans="1:42" ht="14.25" customHeight="1">
      <c r="Q23" s="300"/>
      <c r="R23" s="300"/>
      <c r="S23" s="1197"/>
      <c r="T23" s="286"/>
      <c r="U23" s="286"/>
      <c r="V23" s="435"/>
      <c r="W23" s="435"/>
      <c r="X23" s="435"/>
      <c r="Y23" s="435"/>
      <c r="Z23" s="435"/>
      <c r="AA23" s="435"/>
      <c r="AB23" s="435"/>
      <c r="AC23" s="435"/>
      <c r="AD23" s="435"/>
      <c r="AE23" s="435"/>
      <c r="AF23" s="435"/>
      <c r="AG23" s="435"/>
      <c r="AH23" s="435"/>
      <c r="AI23" s="435"/>
    </row>
    <row r="24" spans="1:42" ht="32.25" customHeight="1">
      <c r="Q24" s="300"/>
      <c r="R24" s="300"/>
      <c r="S24" s="2101" t="str">
        <f>IF(TEMPLATE_GROUP="P",PT_P_FORM_HOTVSNA_4_NAME_FORM,PT_R_FORM_HOTVSNA_16_NAME_FORM)</f>
        <v>Форма 16. Информация о предложении расчетной величины тарифов организации горячего водоснабжения об установлении тарифов в сфере горячего водоснабжения на очередной период регулирования &lt;1&gt;</v>
      </c>
      <c r="T24" s="2101"/>
      <c r="U24" s="2101"/>
      <c r="V24" s="2101"/>
      <c r="W24" s="2101"/>
      <c r="X24" s="2101"/>
      <c r="Y24" s="2101"/>
      <c r="Z24" s="2101"/>
      <c r="AA24" s="2101"/>
      <c r="AB24" s="2101"/>
      <c r="AC24" s="2101"/>
      <c r="AD24" s="2101"/>
      <c r="AE24" s="2101"/>
      <c r="AF24" s="2101"/>
      <c r="AG24" s="2101"/>
      <c r="AH24" s="2101"/>
      <c r="AI24" s="1154"/>
    </row>
    <row r="25" spans="1:42" ht="14.25" customHeight="1">
      <c r="Q25" s="300"/>
      <c r="R25" s="300"/>
      <c r="S25" s="1961" t="str">
        <f>IF(org=0,"Не определено",org)</f>
        <v>АО СЗ "КМАпроектжилстрой"</v>
      </c>
      <c r="T25" s="1961"/>
      <c r="U25" s="1961"/>
      <c r="V25" s="1961"/>
      <c r="W25" s="1961"/>
      <c r="X25" s="1961"/>
      <c r="Y25" s="1961"/>
      <c r="Z25" s="1961"/>
      <c r="AA25" s="1961"/>
      <c r="AB25" s="1961"/>
      <c r="AC25" s="1961"/>
      <c r="AD25" s="1961"/>
      <c r="AE25" s="1961"/>
      <c r="AF25" s="1961"/>
      <c r="AG25" s="1961"/>
      <c r="AH25" s="1961"/>
      <c r="AI25" s="1154"/>
    </row>
    <row r="26" spans="1:42" ht="14.25" hidden="1" customHeight="1">
      <c r="Q26" s="300"/>
      <c r="R26" s="300"/>
      <c r="S26" s="1197"/>
      <c r="T26" s="286"/>
      <c r="U26" s="286"/>
      <c r="V26" s="242"/>
      <c r="W26" s="242"/>
      <c r="X26" s="242"/>
      <c r="Y26" s="242"/>
      <c r="Z26" s="242"/>
      <c r="AA26" s="242"/>
      <c r="AB26" s="242"/>
      <c r="AC26" s="242"/>
      <c r="AD26" s="242"/>
      <c r="AE26" s="242"/>
      <c r="AF26" s="242"/>
      <c r="AG26" s="242"/>
      <c r="AH26" s="242"/>
      <c r="AI26" s="242"/>
      <c r="AJ26" s="435"/>
    </row>
    <row r="27" spans="1:42" s="1773" customFormat="1" ht="25.5" hidden="1" customHeight="1">
      <c r="A27" s="1286"/>
      <c r="B27" s="1286"/>
      <c r="C27" s="1286"/>
      <c r="D27" s="1286"/>
      <c r="E27" s="1286"/>
      <c r="F27" s="1286"/>
      <c r="G27" s="1286"/>
      <c r="H27" s="1286"/>
      <c r="I27" s="1286"/>
      <c r="J27" s="1286"/>
      <c r="K27" s="1286"/>
      <c r="L27" s="1287"/>
      <c r="M27" s="1286"/>
      <c r="N27" s="1286"/>
      <c r="O27" s="1286"/>
      <c r="S27" s="2067" t="s">
        <v>40</v>
      </c>
      <c r="T27" s="2067"/>
      <c r="U27" s="1290"/>
      <c r="V27" s="2069" t="str">
        <f>IF(TITLE_NAME_OR_PR_CHANGE="",IF(TITLE_NAME_OR_PR="","",TITLE_NAME_OR_PR),TITLE_NAME_OR_PR_CHANGE)</f>
        <v/>
      </c>
      <c r="W27" s="2069"/>
      <c r="X27" s="2069"/>
      <c r="Y27" s="2069"/>
      <c r="Z27" s="2069"/>
      <c r="AA27" s="2069"/>
      <c r="AB27" s="248"/>
      <c r="AC27" s="2069" t="str">
        <f>IF(TITLE_NAME_OR_PR_CHANGE="",IF(TITLE_NAME_OR_PR="","",TITLE_NAME_OR_PR),TITLE_NAME_OR_PR_CHANGE)</f>
        <v/>
      </c>
      <c r="AD27" s="2069"/>
      <c r="AE27" s="2069"/>
      <c r="AF27" s="2069"/>
      <c r="AG27" s="2069"/>
      <c r="AH27" s="2069"/>
      <c r="AI27" s="248"/>
      <c r="AJ27" s="248"/>
      <c r="AK27" s="196"/>
      <c r="AL27" s="292"/>
      <c r="AM27" s="292"/>
      <c r="AN27" s="292"/>
      <c r="AO27" s="292"/>
      <c r="AP27" s="292"/>
    </row>
    <row r="28" spans="1:42" s="1773" customFormat="1" ht="18.75" hidden="1" customHeight="1">
      <c r="A28" s="1286"/>
      <c r="B28" s="1286"/>
      <c r="C28" s="1286"/>
      <c r="D28" s="1286"/>
      <c r="E28" s="1286"/>
      <c r="F28" s="1286"/>
      <c r="G28" s="1286"/>
      <c r="H28" s="1286"/>
      <c r="I28" s="1286"/>
      <c r="J28" s="1286"/>
      <c r="K28" s="1286"/>
      <c r="L28" s="1287"/>
      <c r="M28" s="1286"/>
      <c r="N28" s="1286"/>
      <c r="O28" s="1286"/>
      <c r="S28" s="2067" t="s">
        <v>483</v>
      </c>
      <c r="T28" s="2067"/>
      <c r="U28" s="1290"/>
      <c r="V28" s="2068" t="str">
        <f>IF(TITLE_DATE_CHANGE_PERIOD="",IF(TITLE_DATE_PR="","",TITLE_DATE_PR),TITLE_DATE_CHANGE_PERIOD)</f>
        <v/>
      </c>
      <c r="W28" s="2068"/>
      <c r="X28" s="2068"/>
      <c r="Y28" s="2068"/>
      <c r="Z28" s="2068"/>
      <c r="AA28" s="2068"/>
      <c r="AB28" s="248"/>
      <c r="AC28" s="2068" t="str">
        <f>IF(TITLE_DATE_CHANGE_PERIOD="",IF(TITLE_DATE_PR="","",TITLE_DATE_PR),TITLE_DATE_CHANGE_PERIOD)</f>
        <v/>
      </c>
      <c r="AD28" s="2068"/>
      <c r="AE28" s="2068"/>
      <c r="AF28" s="2068"/>
      <c r="AG28" s="2068"/>
      <c r="AH28" s="2068"/>
      <c r="AI28" s="248"/>
      <c r="AJ28" s="248"/>
      <c r="AK28" s="196"/>
      <c r="AL28" s="292"/>
      <c r="AM28" s="292"/>
      <c r="AN28" s="292"/>
      <c r="AO28" s="292"/>
      <c r="AP28" s="292"/>
    </row>
    <row r="29" spans="1:42" s="1773" customFormat="1" ht="18.75" hidden="1" customHeight="1">
      <c r="A29" s="1286"/>
      <c r="B29" s="1286"/>
      <c r="C29" s="1286"/>
      <c r="D29" s="1286"/>
      <c r="E29" s="1286"/>
      <c r="F29" s="1286"/>
      <c r="G29" s="1286"/>
      <c r="H29" s="1286"/>
      <c r="I29" s="1286"/>
      <c r="J29" s="1286"/>
      <c r="K29" s="1286"/>
      <c r="L29" s="1287"/>
      <c r="M29" s="1286"/>
      <c r="N29" s="1286"/>
      <c r="O29" s="1286"/>
      <c r="S29" s="2067" t="s">
        <v>484</v>
      </c>
      <c r="T29" s="2067"/>
      <c r="U29" s="1290"/>
      <c r="V29" s="2069" t="str">
        <f>IF(TITLE_NUMBER_PR_CHANGE="",IF(TITLE_NUMBER_PR="","",TITLE_NUMBER_PR),TITLE_NUMBER_PR_CHANGE)</f>
        <v/>
      </c>
      <c r="W29" s="2069"/>
      <c r="X29" s="2069"/>
      <c r="Y29" s="2069"/>
      <c r="Z29" s="2069"/>
      <c r="AA29" s="2069"/>
      <c r="AB29" s="248"/>
      <c r="AC29" s="2069" t="str">
        <f>IF(TITLE_NUMBER_PR_CHANGE="",IF(TITLE_NUMBER_PR="","",TITLE_NUMBER_PR),TITLE_NUMBER_PR_CHANGE)</f>
        <v/>
      </c>
      <c r="AD29" s="2069"/>
      <c r="AE29" s="2069"/>
      <c r="AF29" s="2069"/>
      <c r="AG29" s="2069"/>
      <c r="AH29" s="2069"/>
      <c r="AI29" s="248"/>
      <c r="AJ29" s="248"/>
      <c r="AK29" s="196"/>
      <c r="AL29" s="292"/>
      <c r="AM29" s="292"/>
      <c r="AN29" s="292"/>
      <c r="AO29" s="292"/>
      <c r="AP29" s="292"/>
    </row>
    <row r="30" spans="1:42" s="1773" customFormat="1" ht="18.75" hidden="1" customHeight="1">
      <c r="A30" s="1286"/>
      <c r="B30" s="1286"/>
      <c r="C30" s="1286"/>
      <c r="D30" s="1286"/>
      <c r="E30" s="1286"/>
      <c r="F30" s="1286"/>
      <c r="G30" s="1286"/>
      <c r="H30" s="1286"/>
      <c r="I30" s="1286"/>
      <c r="J30" s="1286"/>
      <c r="K30" s="1286"/>
      <c r="L30" s="1287"/>
      <c r="M30" s="1286"/>
      <c r="N30" s="1286"/>
      <c r="O30" s="1286"/>
      <c r="S30" s="2067" t="s">
        <v>41</v>
      </c>
      <c r="T30" s="2067"/>
      <c r="U30" s="1290"/>
      <c r="V30" s="2069" t="str">
        <f>IF(TITLE_IST_PUB_CHANGE="",IF(TITLE_IST_PUB="","",TITLE_IST_PUB),TITLE_IST_PUB_CHANGE)</f>
        <v/>
      </c>
      <c r="W30" s="2069"/>
      <c r="X30" s="2069"/>
      <c r="Y30" s="2069"/>
      <c r="Z30" s="2069"/>
      <c r="AA30" s="2069"/>
      <c r="AB30" s="248"/>
      <c r="AC30" s="2069" t="str">
        <f>IF(TITLE_IST_PUB_CHANGE="",IF(TITLE_IST_PUB="","",TITLE_IST_PUB),TITLE_IST_PUB_CHANGE)</f>
        <v/>
      </c>
      <c r="AD30" s="2069"/>
      <c r="AE30" s="2069"/>
      <c r="AF30" s="2069"/>
      <c r="AG30" s="2069"/>
      <c r="AH30" s="2069"/>
      <c r="AI30" s="248"/>
      <c r="AJ30" s="248"/>
      <c r="AK30" s="196"/>
      <c r="AL30" s="292"/>
      <c r="AM30" s="292"/>
      <c r="AN30" s="292"/>
      <c r="AO30" s="292"/>
      <c r="AP30" s="292"/>
    </row>
    <row r="31" spans="1:42" ht="14.25" hidden="1" customHeight="1">
      <c r="Q31" s="300"/>
      <c r="R31" s="300"/>
      <c r="S31" s="1197"/>
      <c r="T31" s="286"/>
      <c r="U31" s="286"/>
      <c r="V31" s="242"/>
      <c r="W31" s="242"/>
      <c r="X31" s="242"/>
      <c r="Y31" s="242"/>
      <c r="Z31" s="242"/>
      <c r="AA31" s="242"/>
      <c r="AB31" s="242"/>
      <c r="AC31" s="242"/>
      <c r="AD31" s="242"/>
      <c r="AE31" s="242"/>
      <c r="AF31" s="242"/>
      <c r="AG31" s="242"/>
      <c r="AH31" s="242"/>
      <c r="AI31" s="242"/>
      <c r="AJ31" s="435"/>
    </row>
    <row r="32" spans="1:42" s="1773" customFormat="1" ht="18.75" hidden="1" customHeight="1">
      <c r="A32" s="1286"/>
      <c r="B32" s="1286"/>
      <c r="C32" s="1286"/>
      <c r="D32" s="1286"/>
      <c r="E32" s="1286"/>
      <c r="F32" s="1286"/>
      <c r="G32" s="1286"/>
      <c r="H32" s="1286"/>
      <c r="I32" s="1286"/>
      <c r="J32" s="1286"/>
      <c r="K32" s="1286"/>
      <c r="L32" s="1287"/>
      <c r="M32" s="1286"/>
      <c r="N32" s="1286"/>
      <c r="O32" s="1286"/>
      <c r="S32" s="2067" t="s">
        <v>485</v>
      </c>
      <c r="T32" s="2067"/>
      <c r="U32" s="1290"/>
      <c r="V32" s="2068" t="str">
        <f>IF(TITLE_DATE_CHANGE_PERIOD="",IF(TITLE_DATE_PR="","",TITLE_DATE_PR),TITLE_DATE_CHANGE_PERIOD)</f>
        <v/>
      </c>
      <c r="W32" s="2068"/>
      <c r="X32" s="2068"/>
      <c r="Y32" s="2068"/>
      <c r="Z32" s="2068"/>
      <c r="AA32" s="2068"/>
      <c r="AB32" s="248"/>
      <c r="AC32" s="2068" t="str">
        <f>IF(TITLE_DATE_CHANGE_PERIOD="",IF(TITLE_DATE_PR="","",TITLE_DATE_PR),TITLE_DATE_CHANGE_PERIOD)</f>
        <v/>
      </c>
      <c r="AD32" s="2068"/>
      <c r="AE32" s="2068"/>
      <c r="AF32" s="2068"/>
      <c r="AG32" s="2068"/>
      <c r="AH32" s="2068"/>
      <c r="AI32" s="248"/>
      <c r="AJ32" s="248"/>
      <c r="AK32" s="196"/>
      <c r="AL32" s="292"/>
      <c r="AM32" s="292"/>
      <c r="AN32" s="292"/>
      <c r="AO32" s="292"/>
      <c r="AP32" s="292"/>
    </row>
    <row r="33" spans="1:42" s="1773" customFormat="1" ht="18.75" hidden="1" customHeight="1">
      <c r="A33" s="1286"/>
      <c r="B33" s="1286"/>
      <c r="C33" s="1286"/>
      <c r="D33" s="1286"/>
      <c r="E33" s="1286"/>
      <c r="F33" s="1286"/>
      <c r="G33" s="1286"/>
      <c r="H33" s="1286"/>
      <c r="I33" s="1286"/>
      <c r="J33" s="1286"/>
      <c r="K33" s="1286"/>
      <c r="L33" s="1287"/>
      <c r="M33" s="1286"/>
      <c r="N33" s="1286"/>
      <c r="O33" s="1286"/>
      <c r="S33" s="2067" t="s">
        <v>486</v>
      </c>
      <c r="T33" s="2067"/>
      <c r="U33" s="1290"/>
      <c r="V33" s="2069" t="str">
        <f>IF(TITLE_NUMBER_PR_CHANGE="",IF(TITLE_NUMBER_PR="","",TITLE_NUMBER_PR),TITLE_NUMBER_PR_CHANGE)</f>
        <v/>
      </c>
      <c r="W33" s="2069"/>
      <c r="X33" s="2069"/>
      <c r="Y33" s="2069"/>
      <c r="Z33" s="2069"/>
      <c r="AA33" s="2069"/>
      <c r="AB33" s="248"/>
      <c r="AC33" s="2069" t="str">
        <f>IF(TITLE_NUMBER_PR_CHANGE="",IF(TITLE_NUMBER_PR="","",TITLE_NUMBER_PR),TITLE_NUMBER_PR_CHANGE)</f>
        <v/>
      </c>
      <c r="AD33" s="2069"/>
      <c r="AE33" s="2069"/>
      <c r="AF33" s="2069"/>
      <c r="AG33" s="2069"/>
      <c r="AH33" s="2069"/>
      <c r="AI33" s="248"/>
      <c r="AJ33" s="248"/>
      <c r="AK33" s="196"/>
      <c r="AL33" s="292"/>
      <c r="AM33" s="292"/>
      <c r="AN33" s="292"/>
      <c r="AO33" s="292"/>
      <c r="AP33" s="292"/>
    </row>
    <row r="34" spans="1:42" s="1773" customFormat="1" ht="0.75" customHeight="1">
      <c r="A34" s="1286"/>
      <c r="B34" s="1286"/>
      <c r="C34" s="1286"/>
      <c r="D34" s="1286"/>
      <c r="E34" s="1286"/>
      <c r="F34" s="1286"/>
      <c r="G34" s="1286"/>
      <c r="H34" s="1286"/>
      <c r="I34" s="1286"/>
      <c r="J34" s="1286"/>
      <c r="K34" s="1286"/>
      <c r="L34" s="1287"/>
      <c r="M34" s="1286"/>
      <c r="N34" s="1286"/>
      <c r="O34" s="1286"/>
      <c r="S34" s="244"/>
      <c r="T34" s="244"/>
      <c r="U34" s="1400"/>
      <c r="V34" s="248"/>
      <c r="W34" s="248"/>
      <c r="X34" s="248"/>
      <c r="Y34" s="248"/>
      <c r="Z34" s="248"/>
      <c r="AA34" s="248"/>
      <c r="AB34" s="194" t="s">
        <v>487</v>
      </c>
      <c r="AC34" s="248"/>
      <c r="AD34" s="248"/>
      <c r="AE34" s="248"/>
      <c r="AF34" s="248"/>
      <c r="AG34" s="248"/>
      <c r="AH34" s="248"/>
      <c r="AI34" s="194" t="s">
        <v>487</v>
      </c>
      <c r="AL34" s="292"/>
      <c r="AM34" s="292"/>
      <c r="AN34" s="292"/>
      <c r="AO34" s="292"/>
      <c r="AP34" s="292"/>
    </row>
    <row r="35" spans="1:42" ht="14.25" customHeight="1">
      <c r="Q35" s="300"/>
      <c r="R35" s="300"/>
      <c r="S35" s="1197"/>
      <c r="T35" s="286"/>
      <c r="U35" s="1155"/>
      <c r="V35" s="2087"/>
      <c r="W35" s="2087"/>
      <c r="X35" s="2087"/>
      <c r="Y35" s="2087"/>
      <c r="Z35" s="2087"/>
      <c r="AA35" s="2087"/>
      <c r="AB35" s="2087"/>
      <c r="AC35" s="2087"/>
      <c r="AD35" s="2087"/>
      <c r="AE35" s="2087"/>
      <c r="AF35" s="2087"/>
      <c r="AG35" s="2087"/>
      <c r="AH35" s="2087"/>
      <c r="AI35" s="2087"/>
    </row>
    <row r="36" spans="1:42" ht="14.25" customHeight="1">
      <c r="Q36" s="300"/>
      <c r="R36" s="300"/>
      <c r="S36" s="1874" t="s">
        <v>291</v>
      </c>
      <c r="T36" s="1874"/>
      <c r="U36" s="1874"/>
      <c r="V36" s="1874"/>
      <c r="W36" s="1874"/>
      <c r="X36" s="1874"/>
      <c r="Y36" s="1874"/>
      <c r="Z36" s="1874"/>
      <c r="AA36" s="1874"/>
      <c r="AB36" s="1874"/>
      <c r="AC36" s="1874"/>
      <c r="AD36" s="1874"/>
      <c r="AE36" s="1874"/>
      <c r="AF36" s="1874"/>
      <c r="AG36" s="1874"/>
      <c r="AH36" s="1874"/>
      <c r="AI36" s="1874"/>
      <c r="AJ36" s="1874"/>
      <c r="AK36" s="1874" t="s">
        <v>292</v>
      </c>
    </row>
    <row r="37" spans="1:42" ht="14.25" customHeight="1">
      <c r="Q37" s="300"/>
      <c r="R37" s="300"/>
      <c r="S37" s="2088" t="s">
        <v>88</v>
      </c>
      <c r="T37" s="1959" t="s">
        <v>488</v>
      </c>
      <c r="U37" s="215"/>
      <c r="V37" s="2089" t="s">
        <v>489</v>
      </c>
      <c r="W37" s="2090"/>
      <c r="X37" s="2090"/>
      <c r="Y37" s="2090"/>
      <c r="Z37" s="2090"/>
      <c r="AA37" s="2091"/>
      <c r="AB37" s="2092" t="s">
        <v>490</v>
      </c>
      <c r="AC37" s="2089" t="s">
        <v>489</v>
      </c>
      <c r="AD37" s="2090"/>
      <c r="AE37" s="2090"/>
      <c r="AF37" s="2090"/>
      <c r="AG37" s="2090"/>
      <c r="AH37" s="2091"/>
      <c r="AI37" s="2092" t="s">
        <v>491</v>
      </c>
      <c r="AJ37" s="2095" t="s">
        <v>492</v>
      </c>
      <c r="AK37" s="1874"/>
    </row>
    <row r="38" spans="1:42" ht="33.75" customHeight="1">
      <c r="Q38" s="300"/>
      <c r="R38" s="300"/>
      <c r="S38" s="2088"/>
      <c r="T38" s="1959"/>
      <c r="U38" s="939"/>
      <c r="V38" s="1395" t="s">
        <v>2054</v>
      </c>
      <c r="W38" s="1856" t="s">
        <v>2055</v>
      </c>
      <c r="X38" s="1855"/>
      <c r="Y38" s="1856" t="s">
        <v>496</v>
      </c>
      <c r="Z38" s="1861"/>
      <c r="AA38" s="1855"/>
      <c r="AB38" s="2093"/>
      <c r="AC38" s="1395" t="s">
        <v>2054</v>
      </c>
      <c r="AD38" s="1856" t="s">
        <v>2055</v>
      </c>
      <c r="AE38" s="1855"/>
      <c r="AF38" s="1856" t="s">
        <v>496</v>
      </c>
      <c r="AG38" s="1861"/>
      <c r="AH38" s="1855"/>
      <c r="AI38" s="2093"/>
      <c r="AJ38" s="2096"/>
      <c r="AK38" s="1874"/>
    </row>
    <row r="39" spans="1:42" ht="86.25" customHeight="1">
      <c r="A39" s="1288"/>
      <c r="B39" s="1288" t="s">
        <v>140</v>
      </c>
      <c r="C39" s="1288" t="s">
        <v>141</v>
      </c>
      <c r="D39" s="1288" t="s">
        <v>142</v>
      </c>
      <c r="E39" s="1282" t="s">
        <v>497</v>
      </c>
      <c r="F39" s="1282" t="s">
        <v>498</v>
      </c>
      <c r="G39" s="1282" t="s">
        <v>499</v>
      </c>
      <c r="H39" s="1282"/>
      <c r="I39" s="1282" t="s">
        <v>1685</v>
      </c>
      <c r="J39" s="1282" t="s">
        <v>502</v>
      </c>
      <c r="K39" s="1282" t="s">
        <v>1686</v>
      </c>
      <c r="L39" s="1282" t="s">
        <v>478</v>
      </c>
      <c r="Q39" s="300"/>
      <c r="R39" s="300"/>
      <c r="S39" s="2088"/>
      <c r="T39" s="1959"/>
      <c r="U39" s="216"/>
      <c r="V39" s="1395" t="s">
        <v>2056</v>
      </c>
      <c r="W39" s="1130" t="s">
        <v>2057</v>
      </c>
      <c r="X39" s="1130" t="s">
        <v>2058</v>
      </c>
      <c r="Y39" s="1401" t="s">
        <v>506</v>
      </c>
      <c r="Z39" s="1965" t="s">
        <v>507</v>
      </c>
      <c r="AA39" s="1979"/>
      <c r="AB39" s="2094"/>
      <c r="AC39" s="1395" t="s">
        <v>2056</v>
      </c>
      <c r="AD39" s="1130" t="s">
        <v>2057</v>
      </c>
      <c r="AE39" s="1130" t="s">
        <v>2058</v>
      </c>
      <c r="AF39" s="1401" t="s">
        <v>506</v>
      </c>
      <c r="AG39" s="1965" t="s">
        <v>507</v>
      </c>
      <c r="AH39" s="1979"/>
      <c r="AI39" s="2094"/>
      <c r="AJ39" s="2097"/>
      <c r="AK39" s="1874"/>
    </row>
    <row r="40" spans="1:42" s="1558" customFormat="1" ht="11.25" hidden="1" customHeight="1">
      <c r="A40" s="1288"/>
      <c r="B40" s="1288"/>
      <c r="C40" s="1288"/>
      <c r="D40" s="1288"/>
      <c r="E40" s="1288"/>
      <c r="F40" s="1288"/>
      <c r="G40" s="1288"/>
      <c r="H40" s="1288"/>
      <c r="I40" s="1288"/>
      <c r="J40" s="1288"/>
      <c r="K40" s="1288"/>
      <c r="L40" s="1282"/>
      <c r="M40" s="1280"/>
      <c r="N40" s="1280"/>
      <c r="O40" s="1280"/>
      <c r="P40" s="1157"/>
      <c r="Q40" s="1158"/>
      <c r="R40" s="1173">
        <v>1</v>
      </c>
      <c r="S40" s="1199" t="s">
        <v>109</v>
      </c>
      <c r="T40" s="1174" t="s">
        <v>110</v>
      </c>
      <c r="U40" s="1156" t="str">
        <f ca="1">OFFSET(U40,0,-1)</f>
        <v>2</v>
      </c>
      <c r="V40" s="1394">
        <f ca="1">OFFSET(V40,0,-1)+1</f>
        <v>3</v>
      </c>
      <c r="W40" s="1394">
        <f ca="1">OFFSET(W40,0,-1)+1</f>
        <v>4</v>
      </c>
      <c r="X40" s="1394">
        <f ca="1">OFFSET(X40,0,-1)+1</f>
        <v>5</v>
      </c>
      <c r="Y40" s="1394">
        <f ca="1">OFFSET(Y40,0,-1)+1</f>
        <v>6</v>
      </c>
      <c r="Z40" s="2086">
        <f ca="1">OFFSET(Z40,0,-1)+1</f>
        <v>7</v>
      </c>
      <c r="AA40" s="2086"/>
      <c r="AB40" s="1394">
        <f ca="1">OFFSET(AB40,0,-2)+1</f>
        <v>8</v>
      </c>
      <c r="AC40" s="1394">
        <f ca="1">OFFSET(AC40,0,-1)+1</f>
        <v>9</v>
      </c>
      <c r="AD40" s="1394">
        <f ca="1">OFFSET(AD40,0,-1)+1</f>
        <v>10</v>
      </c>
      <c r="AE40" s="1394">
        <f ca="1">OFFSET(AE40,0,-1)+1</f>
        <v>11</v>
      </c>
      <c r="AF40" s="1394">
        <f ca="1">OFFSET(AF40,0,-1)+1</f>
        <v>12</v>
      </c>
      <c r="AG40" s="2086">
        <f ca="1">OFFSET(AG40,0,-1)+1</f>
        <v>13</v>
      </c>
      <c r="AH40" s="2086"/>
      <c r="AI40" s="1394">
        <f ca="1">OFFSET(AI40,0,-2)+1</f>
        <v>14</v>
      </c>
      <c r="AJ40" s="1156">
        <f ca="1">OFFSET(AJ40,0,-1)</f>
        <v>14</v>
      </c>
      <c r="AK40" s="1394">
        <f ca="1">OFFSET(AK40,0,-1)+1</f>
        <v>15</v>
      </c>
      <c r="AL40" s="437"/>
      <c r="AM40" s="437"/>
      <c r="AN40" s="437"/>
      <c r="AO40" s="437"/>
      <c r="AP40" s="437"/>
    </row>
    <row r="41" spans="1:42" ht="23.25" customHeight="1">
      <c r="A41" s="1281" t="s">
        <v>242</v>
      </c>
      <c r="B41" s="1281"/>
      <c r="C41" s="1281"/>
      <c r="D41" s="1281"/>
      <c r="E41" s="2076">
        <v>1</v>
      </c>
      <c r="F41" s="1281"/>
      <c r="G41" s="1281"/>
      <c r="H41" s="1281"/>
      <c r="I41" s="1281"/>
      <c r="J41" s="1281"/>
      <c r="K41" s="1281"/>
      <c r="L41" s="1282"/>
      <c r="M41" s="1283"/>
      <c r="N41" s="1283"/>
      <c r="O41" s="1283"/>
      <c r="P41" s="282"/>
      <c r="Q41" s="281"/>
      <c r="R41" s="276"/>
      <c r="S41" s="1405">
        <f>INDEX(PT_DIFFERENTIATION_NUM_NTAR,MATCH(A41,PT_DIFFERENTIATION_NTAR_ID,0))</f>
        <v>0</v>
      </c>
      <c r="T41" s="212" t="s">
        <v>128</v>
      </c>
      <c r="U41" s="214"/>
      <c r="V41" s="2070"/>
      <c r="W41" s="2071"/>
      <c r="X41" s="2071"/>
      <c r="Y41" s="2071"/>
      <c r="Z41" s="2071"/>
      <c r="AA41" s="2071"/>
      <c r="AB41" s="2072"/>
      <c r="AC41" s="2070" t="str">
        <f>INDEX(PT_DIFFERENTIATION_NTAR,MATCH(A41,PT_DIFFERENTIATION_NTAR_ID,0))</f>
        <v/>
      </c>
      <c r="AD41" s="2071"/>
      <c r="AE41" s="2071"/>
      <c r="AF41" s="2071"/>
      <c r="AG41" s="2071"/>
      <c r="AH41" s="2071"/>
      <c r="AI41" s="2071"/>
      <c r="AJ41" s="2072"/>
      <c r="AK41" s="117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426"/>
      <c r="AN41" s="426" t="str">
        <f t="shared" ref="AN41:AN53" si="1">IF(T41="","",T41)</f>
        <v>Наименование тарифа</v>
      </c>
      <c r="AO41" s="426"/>
      <c r="AP41" s="426"/>
    </row>
    <row r="42" spans="1:42" ht="23.25" customHeight="1">
      <c r="A42" s="1281" t="s">
        <v>242</v>
      </c>
      <c r="B42" s="1281" t="s">
        <v>243</v>
      </c>
      <c r="C42" s="1281"/>
      <c r="D42" s="1281"/>
      <c r="E42" s="2077"/>
      <c r="F42" s="2076">
        <v>1</v>
      </c>
      <c r="G42" s="1281"/>
      <c r="H42" s="1281"/>
      <c r="I42" s="1281"/>
      <c r="J42" s="1281"/>
      <c r="K42" s="1281"/>
      <c r="L42" s="1282"/>
      <c r="M42" s="1283"/>
      <c r="N42" s="1283"/>
      <c r="O42" s="1283"/>
      <c r="P42" s="1399"/>
      <c r="Q42" s="273"/>
      <c r="R42" s="274"/>
      <c r="S42" s="1405" t="str">
        <f>INDEX(PT_DIFFERENTIATION_NUM_TER,MATCH(B42,PT_DIFFERENTIATION_TER_ID,0))</f>
        <v>.</v>
      </c>
      <c r="T42" s="224" t="s">
        <v>460</v>
      </c>
      <c r="U42" s="214"/>
      <c r="V42" s="2070"/>
      <c r="W42" s="2071"/>
      <c r="X42" s="2071"/>
      <c r="Y42" s="2071"/>
      <c r="Z42" s="2071"/>
      <c r="AA42" s="2071"/>
      <c r="AB42" s="2072"/>
      <c r="AC42" s="2070" t="str">
        <f>INDEX(PT_DIFFERENTIATION_TER,MATCH(B42,PT_DIFFERENTIATION_TER_ID,0))</f>
        <v/>
      </c>
      <c r="AD42" s="2071"/>
      <c r="AE42" s="2071"/>
      <c r="AF42" s="2071"/>
      <c r="AG42" s="2071"/>
      <c r="AH42" s="2071"/>
      <c r="AI42" s="2071"/>
      <c r="AJ42" s="2072"/>
      <c r="AK42" s="1179" t="s">
        <v>461</v>
      </c>
      <c r="AM42" s="426"/>
      <c r="AN42" s="426" t="str">
        <f t="shared" si="1"/>
        <v>Территория действия тарифа</v>
      </c>
      <c r="AO42" s="426"/>
      <c r="AP42" s="426"/>
    </row>
    <row r="43" spans="1:42" ht="23.25" customHeight="1">
      <c r="A43" s="1281" t="s">
        <v>242</v>
      </c>
      <c r="B43" s="1281" t="s">
        <v>243</v>
      </c>
      <c r="C43" s="1281" t="s">
        <v>244</v>
      </c>
      <c r="D43" s="1281"/>
      <c r="E43" s="2077"/>
      <c r="F43" s="2077"/>
      <c r="G43" s="2076">
        <v>1</v>
      </c>
      <c r="H43" s="1281"/>
      <c r="I43" s="1281"/>
      <c r="J43" s="1281"/>
      <c r="K43" s="1281"/>
      <c r="L43" s="1282"/>
      <c r="M43" s="1283"/>
      <c r="N43" s="1283"/>
      <c r="O43" s="1283"/>
      <c r="P43" s="275"/>
      <c r="Q43" s="273"/>
      <c r="R43" s="274"/>
      <c r="S43" s="1405" t="str">
        <f>INDEX(PT_DIFFERENTIATION_NUM_CS,MATCH(C43,PT_DIFFERENTIATION_CS_ID,0))</f>
        <v>..</v>
      </c>
      <c r="T43" s="225" t="s">
        <v>2052</v>
      </c>
      <c r="U43" s="214"/>
      <c r="V43" s="2070"/>
      <c r="W43" s="2071"/>
      <c r="X43" s="2071"/>
      <c r="Y43" s="2071"/>
      <c r="Z43" s="2071"/>
      <c r="AA43" s="2071"/>
      <c r="AB43" s="2072"/>
      <c r="AC43" s="2070" t="str">
        <f>INDEX(PT_DIFFERENTIATION_CS,MATCH(C43,PT_DIFFERENTIATION_CS_ID,0))</f>
        <v/>
      </c>
      <c r="AD43" s="2071"/>
      <c r="AE43" s="2071"/>
      <c r="AF43" s="2071"/>
      <c r="AG43" s="2071"/>
      <c r="AH43" s="2071"/>
      <c r="AI43" s="2071"/>
      <c r="AJ43" s="2072"/>
      <c r="AK43" s="1179" t="s">
        <v>2053</v>
      </c>
      <c r="AM43" s="426"/>
      <c r="AN43" s="426" t="str">
        <f t="shared" si="1"/>
        <v>Наименование централизованной системы горячего водоснабжения</v>
      </c>
      <c r="AO43" s="426"/>
      <c r="AP43" s="426"/>
    </row>
    <row r="44" spans="1:42" ht="23.25" customHeight="1">
      <c r="A44" s="1281" t="s">
        <v>242</v>
      </c>
      <c r="B44" s="1281" t="s">
        <v>243</v>
      </c>
      <c r="C44" s="1281" t="s">
        <v>244</v>
      </c>
      <c r="D44" s="1281" t="s">
        <v>2059</v>
      </c>
      <c r="E44" s="2077"/>
      <c r="F44" s="2077"/>
      <c r="G44" s="2077"/>
      <c r="H44" s="2077"/>
      <c r="I44" s="2078" t="str">
        <f>S43&amp;".1"</f>
        <v>...1</v>
      </c>
      <c r="J44" s="1281"/>
      <c r="K44" s="1281"/>
      <c r="L44" s="1282"/>
      <c r="P44" s="1995">
        <v>1</v>
      </c>
      <c r="Q44" s="1393"/>
      <c r="R44" s="277"/>
      <c r="S44" s="1405" t="str">
        <f>$I44</f>
        <v>...1</v>
      </c>
      <c r="T44" s="200" t="s">
        <v>1678</v>
      </c>
      <c r="U44" s="214"/>
      <c r="V44" s="2176"/>
      <c r="W44" s="2177"/>
      <c r="X44" s="2177"/>
      <c r="Y44" s="2177"/>
      <c r="Z44" s="2177"/>
      <c r="AA44" s="2177"/>
      <c r="AB44" s="2178"/>
      <c r="AC44" s="2179"/>
      <c r="AD44" s="2180"/>
      <c r="AE44" s="2180"/>
      <c r="AF44" s="2180"/>
      <c r="AG44" s="2180"/>
      <c r="AH44" s="2180"/>
      <c r="AI44" s="2180"/>
      <c r="AJ44" s="2181"/>
      <c r="AK44" s="1179" t="s">
        <v>1679</v>
      </c>
      <c r="AM44" s="426"/>
      <c r="AN44" s="426" t="str">
        <f t="shared" si="1"/>
        <v>Наименование признака дифференциации</v>
      </c>
      <c r="AO44" s="426"/>
      <c r="AP44" s="426"/>
    </row>
    <row r="45" spans="1:42" ht="23.25" customHeight="1">
      <c r="A45" s="1281" t="s">
        <v>242</v>
      </c>
      <c r="B45" s="1281" t="s">
        <v>243</v>
      </c>
      <c r="C45" s="1281" t="s">
        <v>244</v>
      </c>
      <c r="D45" s="1281" t="s">
        <v>2059</v>
      </c>
      <c r="E45" s="2077"/>
      <c r="F45" s="2077"/>
      <c r="G45" s="2077"/>
      <c r="H45" s="2077"/>
      <c r="I45" s="2079"/>
      <c r="J45" s="2078" t="str">
        <f>I44&amp;".1"</f>
        <v>...1.1</v>
      </c>
      <c r="K45" s="1281"/>
      <c r="L45" s="1282" t="s">
        <v>469</v>
      </c>
      <c r="P45" s="1995"/>
      <c r="Q45" s="1995">
        <v>1</v>
      </c>
      <c r="R45" s="278"/>
      <c r="S45" s="1405" t="str">
        <f>$J45</f>
        <v>...1.1</v>
      </c>
      <c r="T45" s="201" t="s">
        <v>470</v>
      </c>
      <c r="U45" s="214"/>
      <c r="V45" s="2064"/>
      <c r="W45" s="2065"/>
      <c r="X45" s="2065"/>
      <c r="Y45" s="2065"/>
      <c r="Z45" s="2065"/>
      <c r="AA45" s="2065"/>
      <c r="AB45" s="2066"/>
      <c r="AC45" s="2064"/>
      <c r="AD45" s="2065"/>
      <c r="AE45" s="2065"/>
      <c r="AF45" s="2065"/>
      <c r="AG45" s="2065"/>
      <c r="AH45" s="2065"/>
      <c r="AI45" s="2065"/>
      <c r="AJ45" s="2066"/>
      <c r="AK45" s="1228" t="s">
        <v>1680</v>
      </c>
      <c r="AM45" s="426"/>
      <c r="AN45" s="426" t="str">
        <f t="shared" si="1"/>
        <v>Группа потребителей</v>
      </c>
      <c r="AO45" s="426"/>
      <c r="AP45" s="426"/>
    </row>
    <row r="46" spans="1:42" ht="23.25" customHeight="1">
      <c r="A46" s="1281" t="s">
        <v>242</v>
      </c>
      <c r="B46" s="1281" t="s">
        <v>243</v>
      </c>
      <c r="C46" s="1281" t="s">
        <v>244</v>
      </c>
      <c r="D46" s="1281" t="s">
        <v>2059</v>
      </c>
      <c r="E46" s="2077"/>
      <c r="F46" s="2077"/>
      <c r="G46" s="2077"/>
      <c r="H46" s="2077"/>
      <c r="I46" s="2079"/>
      <c r="J46" s="2079"/>
      <c r="K46" s="2078" t="str">
        <f>J45&amp;".1"</f>
        <v>...1.1.1</v>
      </c>
      <c r="L46" s="1282"/>
      <c r="P46" s="1995"/>
      <c r="Q46" s="1995"/>
      <c r="R46" s="278">
        <v>1</v>
      </c>
      <c r="S46" s="1405" t="str">
        <f>$K46</f>
        <v>...1.1.1</v>
      </c>
      <c r="T46" s="1354"/>
      <c r="U46" s="214"/>
      <c r="V46" s="1278"/>
      <c r="W46" s="1278"/>
      <c r="X46" s="1279"/>
      <c r="Y46" s="2074"/>
      <c r="Z46" s="2073" t="s">
        <v>59</v>
      </c>
      <c r="AA46" s="2074"/>
      <c r="AB46" s="2073" t="s">
        <v>59</v>
      </c>
      <c r="AC46" s="664"/>
      <c r="AD46" s="664"/>
      <c r="AE46" s="1178"/>
      <c r="AF46" s="2080"/>
      <c r="AG46" s="1885" t="s">
        <v>59</v>
      </c>
      <c r="AH46" s="2082"/>
      <c r="AI46" s="1885" t="s">
        <v>57</v>
      </c>
      <c r="AJ46" s="1355"/>
      <c r="AK46" s="2182"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437" t="e">
        <f ca="1">STRCHECKDATE(V47:AJ47)</f>
        <v>#NAME?</v>
      </c>
      <c r="AM46" s="426"/>
      <c r="AN46" s="426" t="str">
        <f t="shared" si="1"/>
        <v/>
      </c>
      <c r="AO46" s="426"/>
      <c r="AP46" s="426"/>
    </row>
    <row r="47" spans="1:42" ht="0" hidden="1" customHeight="1">
      <c r="A47" s="1281" t="s">
        <v>242</v>
      </c>
      <c r="B47" s="1281" t="s">
        <v>243</v>
      </c>
      <c r="C47" s="1281" t="s">
        <v>244</v>
      </c>
      <c r="D47" s="1281" t="s">
        <v>2059</v>
      </c>
      <c r="E47" s="2077"/>
      <c r="F47" s="2077"/>
      <c r="G47" s="2077"/>
      <c r="H47" s="2077"/>
      <c r="I47" s="2079"/>
      <c r="J47" s="2079"/>
      <c r="K47" s="2078"/>
      <c r="L47" s="1282"/>
      <c r="P47" s="1995"/>
      <c r="Q47" s="1995"/>
      <c r="R47" s="278"/>
      <c r="S47" s="1402"/>
      <c r="T47" s="214"/>
      <c r="U47" s="214"/>
      <c r="V47" s="1278"/>
      <c r="W47" s="1278"/>
      <c r="X47" s="250" t="str">
        <f>Y46&amp;"-"&amp;AA46</f>
        <v>-</v>
      </c>
      <c r="Y47" s="2073"/>
      <c r="Z47" s="2073"/>
      <c r="AA47" s="2073"/>
      <c r="AB47" s="2073"/>
      <c r="AC47" s="246"/>
      <c r="AD47" s="246"/>
      <c r="AE47" s="250" t="str">
        <f>AF46&amp;"-"&amp;AH46</f>
        <v>-</v>
      </c>
      <c r="AF47" s="2081"/>
      <c r="AG47" s="1885"/>
      <c r="AH47" s="2083"/>
      <c r="AI47" s="1885"/>
      <c r="AJ47" s="1356"/>
      <c r="AK47" s="2182"/>
      <c r="AM47" s="426"/>
      <c r="AN47" s="426" t="str">
        <f t="shared" si="1"/>
        <v/>
      </c>
      <c r="AO47" s="426"/>
      <c r="AP47" s="426"/>
    </row>
    <row r="48" spans="1:42" ht="21" customHeight="1">
      <c r="A48" s="1281" t="s">
        <v>242</v>
      </c>
      <c r="B48" s="1281" t="s">
        <v>243</v>
      </c>
      <c r="C48" s="1281" t="s">
        <v>244</v>
      </c>
      <c r="D48" s="1281" t="s">
        <v>2059</v>
      </c>
      <c r="E48" s="2077"/>
      <c r="F48" s="2077"/>
      <c r="G48" s="2077"/>
      <c r="H48" s="2077"/>
      <c r="I48" s="2079"/>
      <c r="J48" s="2078"/>
      <c r="K48" s="1281"/>
      <c r="L48" s="1282"/>
      <c r="P48" s="1995"/>
      <c r="Q48" s="1995"/>
      <c r="R48" s="277"/>
      <c r="S48" s="1200"/>
      <c r="T48" s="202" t="s">
        <v>1681</v>
      </c>
      <c r="U48" s="291"/>
      <c r="V48" s="291"/>
      <c r="W48" s="291"/>
      <c r="X48" s="291"/>
      <c r="Y48" s="291"/>
      <c r="Z48" s="291"/>
      <c r="AA48" s="291"/>
      <c r="AB48" s="291"/>
      <c r="AC48" s="291"/>
      <c r="AD48" s="291"/>
      <c r="AE48" s="291"/>
      <c r="AF48" s="291"/>
      <c r="AG48" s="291"/>
      <c r="AH48" s="291"/>
      <c r="AI48" s="291"/>
      <c r="AJ48" s="291"/>
      <c r="AK48" s="1179" t="s">
        <v>1682</v>
      </c>
      <c r="AM48" s="426"/>
      <c r="AN48" s="426" t="str">
        <f t="shared" si="1"/>
        <v>Добавить значение признака дифференциации</v>
      </c>
      <c r="AO48" s="426"/>
      <c r="AP48" s="426"/>
    </row>
    <row r="49" spans="1:42" ht="21" customHeight="1">
      <c r="A49" s="1281" t="s">
        <v>242</v>
      </c>
      <c r="B49" s="1281" t="s">
        <v>243</v>
      </c>
      <c r="C49" s="1281" t="s">
        <v>244</v>
      </c>
      <c r="D49" s="1281" t="s">
        <v>2059</v>
      </c>
      <c r="E49" s="2077"/>
      <c r="F49" s="2077"/>
      <c r="G49" s="2077"/>
      <c r="H49" s="2077"/>
      <c r="I49" s="2078"/>
      <c r="J49" s="1281"/>
      <c r="K49" s="1281"/>
      <c r="L49" s="1282"/>
      <c r="P49" s="1995"/>
      <c r="Q49" s="1393"/>
      <c r="R49" s="277"/>
      <c r="S49" s="1200"/>
      <c r="T49" s="288" t="s">
        <v>475</v>
      </c>
      <c r="U49" s="291"/>
      <c r="V49" s="291"/>
      <c r="W49" s="291"/>
      <c r="X49" s="291"/>
      <c r="Y49" s="291"/>
      <c r="Z49" s="291"/>
      <c r="AA49" s="291"/>
      <c r="AB49" s="290"/>
      <c r="AC49" s="291"/>
      <c r="AD49" s="291"/>
      <c r="AE49" s="291"/>
      <c r="AF49" s="291"/>
      <c r="AG49" s="291"/>
      <c r="AH49" s="291"/>
      <c r="AI49" s="290"/>
      <c r="AJ49" s="291"/>
      <c r="AK49" s="1357"/>
      <c r="AM49" s="426"/>
      <c r="AN49" s="426" t="str">
        <f t="shared" si="1"/>
        <v>Добавить группу потребителей</v>
      </c>
      <c r="AO49" s="426"/>
      <c r="AP49" s="426"/>
    </row>
    <row r="50" spans="1:42" ht="21" customHeight="1">
      <c r="A50" s="1281" t="s">
        <v>242</v>
      </c>
      <c r="B50" s="1281" t="s">
        <v>243</v>
      </c>
      <c r="C50" s="1281" t="s">
        <v>244</v>
      </c>
      <c r="D50" s="1281" t="s">
        <v>2059</v>
      </c>
      <c r="E50" s="2077"/>
      <c r="F50" s="2077"/>
      <c r="G50" s="2077"/>
      <c r="H50" s="2076"/>
      <c r="I50" s="1281"/>
      <c r="J50" s="1281"/>
      <c r="K50" s="1281"/>
      <c r="L50" s="1282"/>
      <c r="M50" s="1283"/>
      <c r="N50" s="1283"/>
      <c r="O50" s="462"/>
      <c r="P50" s="281"/>
      <c r="Q50" s="299"/>
      <c r="R50" s="276"/>
      <c r="S50" s="1200"/>
      <c r="T50" s="296" t="s">
        <v>1683</v>
      </c>
      <c r="U50" s="291"/>
      <c r="V50" s="291"/>
      <c r="W50" s="291"/>
      <c r="X50" s="291"/>
      <c r="Y50" s="291"/>
      <c r="Z50" s="291"/>
      <c r="AA50" s="291"/>
      <c r="AB50" s="290"/>
      <c r="AC50" s="291"/>
      <c r="AD50" s="291"/>
      <c r="AE50" s="291"/>
      <c r="AF50" s="291"/>
      <c r="AG50" s="291"/>
      <c r="AH50" s="291"/>
      <c r="AI50" s="290"/>
      <c r="AJ50" s="291"/>
      <c r="AK50" s="217"/>
      <c r="AM50" s="426"/>
      <c r="AN50" s="426" t="str">
        <f t="shared" si="1"/>
        <v>Добавить наименование признака дифференциации</v>
      </c>
      <c r="AO50" s="426"/>
      <c r="AP50" s="426"/>
    </row>
    <row r="51" spans="1:42" s="1559" customFormat="1" ht="0" hidden="1" customHeight="1">
      <c r="A51" s="1262" t="s">
        <v>242</v>
      </c>
      <c r="B51" s="1262" t="s">
        <v>243</v>
      </c>
      <c r="C51" s="1234"/>
      <c r="D51" s="1234"/>
      <c r="E51" s="2077"/>
      <c r="F51" s="2076"/>
      <c r="G51" s="1234"/>
      <c r="H51" s="1234"/>
      <c r="I51" s="1234"/>
      <c r="J51" s="1234"/>
      <c r="K51" s="1234"/>
      <c r="L51" s="1406"/>
      <c r="M51" s="1241"/>
      <c r="N51" s="1241"/>
      <c r="P51" s="1236"/>
      <c r="Q51" s="1237"/>
      <c r="R51" s="1236"/>
      <c r="S51" s="1242"/>
      <c r="T51" s="1245" t="s">
        <v>434</v>
      </c>
      <c r="U51" s="1244"/>
      <c r="V51" s="1244"/>
      <c r="W51" s="1244"/>
      <c r="X51" s="1244"/>
      <c r="Y51" s="1244"/>
      <c r="Z51" s="1244"/>
      <c r="AA51" s="1244"/>
      <c r="AB51" s="1244"/>
      <c r="AC51" s="1244"/>
      <c r="AD51" s="1244"/>
      <c r="AE51" s="1244"/>
      <c r="AF51" s="1244"/>
      <c r="AG51" s="1244"/>
      <c r="AH51" s="1244"/>
      <c r="AI51" s="1244"/>
      <c r="AJ51" s="1244"/>
      <c r="AK51" s="1244"/>
      <c r="AM51" s="702"/>
      <c r="AN51" s="702" t="str">
        <f t="shared" si="1"/>
        <v>Добавить централизованную систему для дифференциации</v>
      </c>
      <c r="AO51" s="702"/>
      <c r="AP51" s="702"/>
    </row>
    <row r="52" spans="1:42" s="1559" customFormat="1" ht="0" hidden="1" customHeight="1">
      <c r="A52" s="1262" t="s">
        <v>242</v>
      </c>
      <c r="B52" s="1262"/>
      <c r="C52" s="1262"/>
      <c r="D52" s="1262"/>
      <c r="E52" s="2076"/>
      <c r="F52" s="1262"/>
      <c r="G52" s="1262"/>
      <c r="H52" s="1262"/>
      <c r="I52" s="1262"/>
      <c r="J52" s="1262"/>
      <c r="K52" s="1262"/>
      <c r="L52" s="1265"/>
      <c r="M52" s="1241"/>
      <c r="N52" s="1241"/>
      <c r="O52" s="444"/>
      <c r="P52" s="308"/>
      <c r="Q52" s="1263"/>
      <c r="R52" s="308"/>
      <c r="S52" s="1242"/>
      <c r="T52" s="1245" t="s">
        <v>435</v>
      </c>
      <c r="U52" s="1244"/>
      <c r="V52" s="1244"/>
      <c r="W52" s="1244"/>
      <c r="X52" s="1244"/>
      <c r="Y52" s="1244"/>
      <c r="Z52" s="1244"/>
      <c r="AA52" s="1244"/>
      <c r="AB52" s="1244"/>
      <c r="AC52" s="1244"/>
      <c r="AD52" s="1244"/>
      <c r="AE52" s="1244"/>
      <c r="AF52" s="1244"/>
      <c r="AG52" s="1244"/>
      <c r="AH52" s="1244"/>
      <c r="AI52" s="1244"/>
      <c r="AJ52" s="1244"/>
      <c r="AK52" s="1244"/>
      <c r="AM52" s="426"/>
      <c r="AN52" s="426" t="str">
        <f t="shared" si="1"/>
        <v>Добавить территорию для дифференциации</v>
      </c>
      <c r="AO52" s="426"/>
      <c r="AP52" s="426"/>
    </row>
    <row r="53" spans="1:42" s="1559" customFormat="1" ht="0" hidden="1" customHeight="1">
      <c r="A53" s="1234"/>
      <c r="B53" s="1234"/>
      <c r="C53" s="1234"/>
      <c r="D53" s="1234"/>
      <c r="E53" s="1262"/>
      <c r="F53" s="1234"/>
      <c r="G53" s="1234"/>
      <c r="H53" s="1234"/>
      <c r="I53" s="1234"/>
      <c r="J53" s="1234"/>
      <c r="K53" s="1234"/>
      <c r="L53" s="1406"/>
      <c r="M53" s="1241"/>
      <c r="N53" s="1241"/>
      <c r="P53" s="1236"/>
      <c r="Q53" s="1237"/>
      <c r="R53" s="1236"/>
      <c r="S53" s="1242"/>
      <c r="T53" s="1245" t="s">
        <v>436</v>
      </c>
      <c r="U53" s="1244"/>
      <c r="V53" s="1244"/>
      <c r="W53" s="1244"/>
      <c r="X53" s="1244"/>
      <c r="Y53" s="1244"/>
      <c r="Z53" s="1244"/>
      <c r="AA53" s="1244"/>
      <c r="AB53" s="1244"/>
      <c r="AC53" s="1244"/>
      <c r="AD53" s="1244"/>
      <c r="AE53" s="1244"/>
      <c r="AF53" s="1244"/>
      <c r="AG53" s="1244"/>
      <c r="AH53" s="1244"/>
      <c r="AI53" s="1244"/>
      <c r="AJ53" s="1244"/>
      <c r="AK53" s="1244"/>
      <c r="AM53" s="702"/>
      <c r="AN53" s="702" t="str">
        <f t="shared" si="1"/>
        <v>Добавить наименование тарифа</v>
      </c>
      <c r="AO53" s="702"/>
      <c r="AP53" s="702"/>
    </row>
    <row r="54" spans="1:42" ht="11.25" hidden="1" customHeight="1">
      <c r="M54" s="1062"/>
      <c r="N54" s="1062"/>
      <c r="O54" s="462"/>
      <c r="P54" s="1057"/>
      <c r="Q54" s="1057"/>
      <c r="R54" s="1057"/>
      <c r="S54" s="1057"/>
      <c r="AL54" s="1057"/>
      <c r="AM54" s="1057"/>
      <c r="AN54" s="1057"/>
      <c r="AO54" s="1057"/>
      <c r="AP54" s="1057"/>
    </row>
    <row r="55" spans="1:42" ht="14.25" hidden="1" customHeight="1">
      <c r="O55" s="462"/>
      <c r="S55" s="1166" t="s">
        <v>508</v>
      </c>
      <c r="T55" s="2075" t="s">
        <v>2060</v>
      </c>
      <c r="U55" s="2075"/>
      <c r="V55" s="2075"/>
      <c r="W55" s="2075"/>
      <c r="X55" s="2075"/>
      <c r="Y55" s="2075"/>
      <c r="Z55" s="2075"/>
      <c r="AA55" s="2075"/>
      <c r="AB55" s="2075"/>
      <c r="AC55" s="2075"/>
      <c r="AD55" s="2075"/>
      <c r="AE55" s="2075"/>
      <c r="AF55" s="2075"/>
      <c r="AG55" s="2075"/>
      <c r="AH55" s="2075"/>
      <c r="AI55" s="2075"/>
      <c r="AJ55" s="2075"/>
      <c r="AK55" s="2075"/>
    </row>
    <row r="56" spans="1:42" ht="14.25" hidden="1" customHeight="1">
      <c r="O56" s="462"/>
    </row>
    <row r="57" spans="1:42" ht="14.25" hidden="1" customHeight="1">
      <c r="O57" s="462"/>
      <c r="S57" s="1166" t="s">
        <v>508</v>
      </c>
      <c r="T57" s="2075" t="s">
        <v>2061</v>
      </c>
      <c r="U57" s="2075"/>
      <c r="V57" s="2075"/>
      <c r="W57" s="2075"/>
      <c r="X57" s="2075"/>
      <c r="Y57" s="2075"/>
      <c r="Z57" s="2075"/>
      <c r="AA57" s="2075"/>
      <c r="AB57" s="2075"/>
      <c r="AC57" s="2075"/>
      <c r="AD57" s="2075"/>
      <c r="AE57" s="2075"/>
      <c r="AF57" s="2075"/>
      <c r="AG57" s="2075"/>
      <c r="AH57" s="2075"/>
      <c r="AI57" s="2075"/>
      <c r="AJ57" s="2075"/>
      <c r="AK57" s="2075"/>
    </row>
  </sheetData>
  <sheetProtection formatColumns="0" formatRows="0" insertRows="0" deleteColumns="0" deleteRows="0" sort="0" autoFilter="0"/>
  <mergeCells count="101">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 ref="AK7:AK8"/>
    <mergeCell ref="AF15:AF16"/>
    <mergeCell ref="AG15:AG16"/>
    <mergeCell ref="AH15:AH16"/>
    <mergeCell ref="AI15:AI16"/>
    <mergeCell ref="Z7:Z8"/>
    <mergeCell ref="AA7:AA8"/>
    <mergeCell ref="AB7:AB8"/>
    <mergeCell ref="AF7:AF8"/>
    <mergeCell ref="AG7:AG8"/>
    <mergeCell ref="AH7:AH8"/>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46:AK47"/>
    <mergeCell ref="T55:AK55"/>
    <mergeCell ref="T57:AK57"/>
    <mergeCell ref="K46:K47"/>
    <mergeCell ref="Y46:Y47"/>
    <mergeCell ref="Z46:Z47"/>
    <mergeCell ref="AA46:AA47"/>
    <mergeCell ref="AB46:AB47"/>
    <mergeCell ref="AF46:AF47"/>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AP57"/>
  <sheetViews>
    <sheetView showGridLines="0" topLeftCell="P23" zoomScale="90" workbookViewId="0"/>
  </sheetViews>
  <sheetFormatPr defaultColWidth="10.5703125" defaultRowHeight="14.25" customHeight="1"/>
  <cols>
    <col min="1" max="1" width="10.5703125" style="1284" hidden="1"/>
    <col min="2" max="2" width="11" style="1284" hidden="1" customWidth="1"/>
    <col min="3" max="3" width="10.5703125" style="1284" hidden="1"/>
    <col min="4" max="4" width="11.85546875" style="1284" hidden="1" customWidth="1"/>
    <col min="5" max="5" width="10" style="1284" hidden="1" customWidth="1"/>
    <col min="6" max="6" width="8.7109375" style="1284" hidden="1" customWidth="1"/>
    <col min="7" max="7" width="7.5703125" style="1284" hidden="1" customWidth="1"/>
    <col min="8" max="8" width="11.42578125" style="1284" hidden="1" customWidth="1"/>
    <col min="9" max="9" width="14.140625" style="1284" hidden="1" customWidth="1"/>
    <col min="10" max="10" width="9.85546875" style="1284" hidden="1" customWidth="1"/>
    <col min="11" max="11" width="14.7109375" style="1284" hidden="1" customWidth="1"/>
    <col min="12" max="12" width="19.140625" style="1799" hidden="1" customWidth="1"/>
    <col min="13" max="14" width="12.28515625" style="1696" hidden="1" customWidth="1"/>
    <col min="15" max="15" width="23.42578125" style="1696" hidden="1" customWidth="1"/>
    <col min="16" max="16" width="3.7109375" style="1803" customWidth="1"/>
    <col min="17" max="18" width="3.7109375" style="265" customWidth="1"/>
    <col min="19" max="19" width="12.7109375" style="1806" customWidth="1"/>
    <col min="20" max="20" width="35.7109375" style="1552" customWidth="1"/>
    <col min="21" max="21" width="0.140625" style="1552" customWidth="1"/>
    <col min="22" max="24" width="24.7109375" style="1552" hidden="1" customWidth="1"/>
    <col min="25" max="25" width="11.7109375" style="1552" hidden="1" customWidth="1"/>
    <col min="26" max="26" width="3.7109375" style="1552" hidden="1" customWidth="1"/>
    <col min="27" max="27" width="11.7109375" style="1552" hidden="1" customWidth="1"/>
    <col min="28" max="28" width="8.5703125" style="1552" hidden="1" customWidth="1"/>
    <col min="29" max="31" width="24.7109375" style="1552" customWidth="1"/>
    <col min="32" max="32" width="11.7109375" style="1552" customWidth="1"/>
    <col min="33" max="33" width="3.7109375" style="1552" customWidth="1"/>
    <col min="34" max="34" width="11.7109375" style="1552" customWidth="1"/>
    <col min="35" max="35" width="8.5703125" style="1552" hidden="1" customWidth="1"/>
    <col min="36" max="36" width="4.7109375" style="1552" customWidth="1"/>
    <col min="37" max="37" width="115.7109375" style="1552" customWidth="1"/>
    <col min="38" max="39" width="10.5703125" style="1559"/>
    <col min="40" max="40" width="11.140625" style="1559" customWidth="1"/>
    <col min="41" max="42" width="10.5703125" style="1559"/>
  </cols>
  <sheetData>
    <row r="1" spans="1:42" ht="14.25" hidden="1" customHeight="1">
      <c r="X1" s="249"/>
      <c r="Y1" s="249"/>
      <c r="AE1" s="249"/>
      <c r="AF1" s="249"/>
    </row>
    <row r="2" spans="1:42" ht="23.25" hidden="1" customHeight="1">
      <c r="A2" s="1281"/>
      <c r="B2" s="1281"/>
      <c r="C2" s="1281"/>
      <c r="D2" s="1281"/>
      <c r="E2" s="2076">
        <v>1</v>
      </c>
      <c r="F2" s="1281"/>
      <c r="G2" s="1281"/>
      <c r="H2" s="1281"/>
      <c r="I2" s="1281"/>
      <c r="J2" s="1281"/>
      <c r="K2" s="1281"/>
      <c r="L2" s="1282"/>
      <c r="M2" s="1283"/>
      <c r="N2" s="1283"/>
      <c r="O2" s="1283"/>
      <c r="P2" s="282"/>
      <c r="Q2" s="281"/>
      <c r="R2" s="276"/>
      <c r="S2" s="1405" t="e">
        <f>INDEX(PT_DIFFERENTIATION_NUM_NTAR,MATCH(A2,PT_DIFFERENTIATION_NTAR_ID,0))</f>
        <v>#N/A</v>
      </c>
      <c r="T2" s="212" t="s">
        <v>128</v>
      </c>
      <c r="U2" s="214"/>
      <c r="V2" s="2070"/>
      <c r="W2" s="2071"/>
      <c r="X2" s="2071"/>
      <c r="Y2" s="2071"/>
      <c r="Z2" s="2071"/>
      <c r="AA2" s="2071"/>
      <c r="AB2" s="2072"/>
      <c r="AC2" s="2070" t="e">
        <f>INDEX(PT_DIFFERENTIATION_NTAR,MATCH(A2,PT_DIFFERENTIATION_NTAR_ID,0))</f>
        <v>#N/A</v>
      </c>
      <c r="AD2" s="2071"/>
      <c r="AE2" s="2071"/>
      <c r="AF2" s="2071"/>
      <c r="AG2" s="2071"/>
      <c r="AH2" s="2071"/>
      <c r="AI2" s="2071"/>
      <c r="AJ2" s="2072"/>
      <c r="AK2" s="117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426"/>
      <c r="AN2" s="426" t="str">
        <f t="shared" ref="AN2:AN13" si="0">IF(T2="","",T2)</f>
        <v>Наименование тарифа</v>
      </c>
      <c r="AO2" s="426"/>
      <c r="AP2" s="426"/>
    </row>
    <row r="3" spans="1:42" ht="23.25" hidden="1" customHeight="1">
      <c r="A3" s="1281"/>
      <c r="B3" s="1281"/>
      <c r="C3" s="1281"/>
      <c r="D3" s="1281"/>
      <c r="E3" s="2077"/>
      <c r="F3" s="2076">
        <v>1</v>
      </c>
      <c r="G3" s="1281"/>
      <c r="H3" s="1281"/>
      <c r="I3" s="1281"/>
      <c r="J3" s="1281"/>
      <c r="K3" s="1281"/>
      <c r="L3" s="1282"/>
      <c r="M3" s="1283"/>
      <c r="N3" s="1283"/>
      <c r="O3" s="1283"/>
      <c r="P3" s="1399"/>
      <c r="Q3" s="273"/>
      <c r="R3" s="274"/>
      <c r="S3" s="1405" t="e">
        <f>INDEX(PT_DIFFERENTIATION_NUM_TER,MATCH(B3,PT_DIFFERENTIATION_TER_ID,0))</f>
        <v>#N/A</v>
      </c>
      <c r="T3" s="224" t="s">
        <v>460</v>
      </c>
      <c r="U3" s="214"/>
      <c r="V3" s="2070"/>
      <c r="W3" s="2071"/>
      <c r="X3" s="2071"/>
      <c r="Y3" s="2071"/>
      <c r="Z3" s="2071"/>
      <c r="AA3" s="2071"/>
      <c r="AB3" s="2072"/>
      <c r="AC3" s="2070" t="e">
        <f>INDEX(PT_DIFFERENTIATION_TER,MATCH(B3,PT_DIFFERENTIATION_TER_ID,0))</f>
        <v>#N/A</v>
      </c>
      <c r="AD3" s="2071"/>
      <c r="AE3" s="2071"/>
      <c r="AF3" s="2071"/>
      <c r="AG3" s="2071"/>
      <c r="AH3" s="2071"/>
      <c r="AI3" s="2071"/>
      <c r="AJ3" s="2072"/>
      <c r="AK3" s="1179" t="s">
        <v>461</v>
      </c>
      <c r="AM3" s="426"/>
      <c r="AN3" s="426" t="str">
        <f t="shared" si="0"/>
        <v>Территория действия тарифа</v>
      </c>
      <c r="AO3" s="426"/>
      <c r="AP3" s="426"/>
    </row>
    <row r="4" spans="1:42" ht="23.25" hidden="1" customHeight="1">
      <c r="A4" s="1281"/>
      <c r="B4" s="1281"/>
      <c r="C4" s="1281"/>
      <c r="D4" s="1281"/>
      <c r="E4" s="2077"/>
      <c r="F4" s="2077"/>
      <c r="G4" s="2076">
        <v>1</v>
      </c>
      <c r="H4" s="1281"/>
      <c r="I4" s="1281"/>
      <c r="J4" s="1281"/>
      <c r="K4" s="1281"/>
      <c r="L4" s="1282"/>
      <c r="M4" s="1283"/>
      <c r="N4" s="1283"/>
      <c r="O4" s="1283"/>
      <c r="P4" s="275"/>
      <c r="Q4" s="273"/>
      <c r="R4" s="274"/>
      <c r="S4" s="1405" t="e">
        <f>INDEX(PT_DIFFERENTIATION_NUM_CS,MATCH(C4,PT_DIFFERENTIATION_CS_ID,0))</f>
        <v>#N/A</v>
      </c>
      <c r="T4" s="225" t="s">
        <v>2052</v>
      </c>
      <c r="U4" s="214"/>
      <c r="V4" s="2070"/>
      <c r="W4" s="2071"/>
      <c r="X4" s="2071"/>
      <c r="Y4" s="2071"/>
      <c r="Z4" s="2071"/>
      <c r="AA4" s="2071"/>
      <c r="AB4" s="2072"/>
      <c r="AC4" s="2070" t="e">
        <f>INDEX(PT_DIFFERENTIATION_CS,MATCH(C4,PT_DIFFERENTIATION_CS_ID,0))</f>
        <v>#N/A</v>
      </c>
      <c r="AD4" s="2071"/>
      <c r="AE4" s="2071"/>
      <c r="AF4" s="2071"/>
      <c r="AG4" s="2071"/>
      <c r="AH4" s="2071"/>
      <c r="AI4" s="2071"/>
      <c r="AJ4" s="2072"/>
      <c r="AK4" s="1179" t="s">
        <v>2053</v>
      </c>
      <c r="AM4" s="426"/>
      <c r="AN4" s="426" t="str">
        <f t="shared" si="0"/>
        <v>Наименование централизованной системы горячего водоснабжения</v>
      </c>
      <c r="AO4" s="426"/>
      <c r="AP4" s="426"/>
    </row>
    <row r="5" spans="1:42" ht="23.25" hidden="1" customHeight="1">
      <c r="A5" s="1281"/>
      <c r="B5" s="1281"/>
      <c r="C5" s="1281"/>
      <c r="D5" s="1281"/>
      <c r="E5" s="2077"/>
      <c r="F5" s="2077"/>
      <c r="G5" s="2077"/>
      <c r="H5" s="2077"/>
      <c r="I5" s="2078" t="e">
        <f>S4&amp;".1"</f>
        <v>#N/A</v>
      </c>
      <c r="J5" s="1281"/>
      <c r="K5" s="1281"/>
      <c r="L5" s="1282"/>
      <c r="P5" s="1995">
        <v>1</v>
      </c>
      <c r="Q5" s="1393"/>
      <c r="R5" s="277"/>
      <c r="S5" s="1405" t="e">
        <f>$I5</f>
        <v>#N/A</v>
      </c>
      <c r="T5" s="200" t="s">
        <v>1678</v>
      </c>
      <c r="U5" s="214"/>
      <c r="V5" s="2176"/>
      <c r="W5" s="2177"/>
      <c r="X5" s="2177"/>
      <c r="Y5" s="2177"/>
      <c r="Z5" s="2177"/>
      <c r="AA5" s="2177"/>
      <c r="AB5" s="2178"/>
      <c r="AC5" s="2179"/>
      <c r="AD5" s="2180"/>
      <c r="AE5" s="2180"/>
      <c r="AF5" s="2180"/>
      <c r="AG5" s="2180"/>
      <c r="AH5" s="2180"/>
      <c r="AI5" s="2180"/>
      <c r="AJ5" s="2181"/>
      <c r="AK5" s="1179" t="s">
        <v>1679</v>
      </c>
      <c r="AM5" s="426"/>
      <c r="AN5" s="426" t="str">
        <f t="shared" si="0"/>
        <v>Наименование признака дифференциации</v>
      </c>
      <c r="AO5" s="426"/>
      <c r="AP5" s="426"/>
    </row>
    <row r="6" spans="1:42" ht="23.25" hidden="1" customHeight="1">
      <c r="A6" s="1281"/>
      <c r="B6" s="1281"/>
      <c r="C6" s="1281"/>
      <c r="D6" s="1281"/>
      <c r="E6" s="2077"/>
      <c r="F6" s="2077"/>
      <c r="G6" s="2077"/>
      <c r="H6" s="2077"/>
      <c r="I6" s="2079"/>
      <c r="J6" s="2078" t="e">
        <f>I5&amp;".1"</f>
        <v>#N/A</v>
      </c>
      <c r="K6" s="1281"/>
      <c r="L6" s="1282" t="s">
        <v>469</v>
      </c>
      <c r="P6" s="1995"/>
      <c r="Q6" s="1995">
        <v>1</v>
      </c>
      <c r="R6" s="278"/>
      <c r="S6" s="1405" t="e">
        <f>$J6</f>
        <v>#N/A</v>
      </c>
      <c r="T6" s="201" t="s">
        <v>470</v>
      </c>
      <c r="U6" s="214"/>
      <c r="V6" s="2064"/>
      <c r="W6" s="2065"/>
      <c r="X6" s="2065"/>
      <c r="Y6" s="2065"/>
      <c r="Z6" s="2065"/>
      <c r="AA6" s="2065"/>
      <c r="AB6" s="2066"/>
      <c r="AC6" s="2064"/>
      <c r="AD6" s="2065"/>
      <c r="AE6" s="2065"/>
      <c r="AF6" s="2065"/>
      <c r="AG6" s="2065"/>
      <c r="AH6" s="2065"/>
      <c r="AI6" s="2065"/>
      <c r="AJ6" s="2066"/>
      <c r="AK6" s="1228" t="s">
        <v>1680</v>
      </c>
      <c r="AM6" s="426"/>
      <c r="AN6" s="426" t="str">
        <f t="shared" si="0"/>
        <v>Группа потребителей</v>
      </c>
      <c r="AO6" s="426"/>
      <c r="AP6" s="426"/>
    </row>
    <row r="7" spans="1:42" ht="23.25" hidden="1" customHeight="1">
      <c r="A7" s="1281"/>
      <c r="B7" s="1281"/>
      <c r="C7" s="1281"/>
      <c r="D7" s="1281"/>
      <c r="E7" s="2077"/>
      <c r="F7" s="2077"/>
      <c r="G7" s="2077"/>
      <c r="H7" s="2077"/>
      <c r="I7" s="2079"/>
      <c r="J7" s="2079"/>
      <c r="K7" s="2078" t="e">
        <f>J6&amp;".1"</f>
        <v>#N/A</v>
      </c>
      <c r="L7" s="1282"/>
      <c r="P7" s="1995"/>
      <c r="Q7" s="1995"/>
      <c r="R7" s="278">
        <v>1</v>
      </c>
      <c r="S7" s="1405" t="e">
        <f>$K7</f>
        <v>#N/A</v>
      </c>
      <c r="T7" s="1354"/>
      <c r="U7" s="214"/>
      <c r="V7" s="664"/>
      <c r="W7" s="664"/>
      <c r="X7" s="1178"/>
      <c r="Y7" s="2080"/>
      <c r="Z7" s="1885" t="s">
        <v>59</v>
      </c>
      <c r="AA7" s="2080"/>
      <c r="AB7" s="1885" t="s">
        <v>59</v>
      </c>
      <c r="AC7" s="664"/>
      <c r="AD7" s="664"/>
      <c r="AE7" s="1178"/>
      <c r="AF7" s="2080"/>
      <c r="AG7" s="1885" t="s">
        <v>59</v>
      </c>
      <c r="AH7" s="2082"/>
      <c r="AI7" s="1885" t="s">
        <v>59</v>
      </c>
      <c r="AJ7" s="1355"/>
      <c r="AK7" s="2182"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437" t="e">
        <f ca="1">STRCHECKDATE(V8:AJ8)</f>
        <v>#NAME?</v>
      </c>
      <c r="AM7" s="426"/>
      <c r="AN7" s="426" t="str">
        <f t="shared" si="0"/>
        <v/>
      </c>
      <c r="AO7" s="426"/>
      <c r="AP7" s="426"/>
    </row>
    <row r="8" spans="1:42" ht="14.25" hidden="1" customHeight="1">
      <c r="A8" s="1281"/>
      <c r="B8" s="1281"/>
      <c r="C8" s="1281"/>
      <c r="D8" s="1281"/>
      <c r="E8" s="2077"/>
      <c r="F8" s="2077"/>
      <c r="G8" s="2077"/>
      <c r="H8" s="2077"/>
      <c r="I8" s="2079"/>
      <c r="J8" s="2079"/>
      <c r="K8" s="2078"/>
      <c r="L8" s="1282"/>
      <c r="P8" s="1995"/>
      <c r="Q8" s="1995"/>
      <c r="R8" s="278"/>
      <c r="S8" s="1402"/>
      <c r="T8" s="214"/>
      <c r="U8" s="214"/>
      <c r="V8" s="246"/>
      <c r="W8" s="246"/>
      <c r="X8" s="250" t="str">
        <f>Y7&amp;"-"&amp;AA7</f>
        <v>-</v>
      </c>
      <c r="Y8" s="2081"/>
      <c r="Z8" s="1885"/>
      <c r="AA8" s="2081"/>
      <c r="AB8" s="1885"/>
      <c r="AC8" s="246"/>
      <c r="AD8" s="246"/>
      <c r="AE8" s="250" t="str">
        <f>AF7&amp;"-"&amp;AH7</f>
        <v>-</v>
      </c>
      <c r="AF8" s="2081"/>
      <c r="AG8" s="1885"/>
      <c r="AH8" s="2083"/>
      <c r="AI8" s="1885"/>
      <c r="AJ8" s="1356"/>
      <c r="AK8" s="2182"/>
      <c r="AM8" s="426"/>
      <c r="AN8" s="426" t="str">
        <f t="shared" si="0"/>
        <v/>
      </c>
      <c r="AO8" s="426"/>
      <c r="AP8" s="426"/>
    </row>
    <row r="9" spans="1:42" ht="21" hidden="1" customHeight="1">
      <c r="A9" s="1281"/>
      <c r="B9" s="1281"/>
      <c r="C9" s="1281"/>
      <c r="D9" s="1281"/>
      <c r="E9" s="2077"/>
      <c r="F9" s="2077"/>
      <c r="G9" s="2077"/>
      <c r="H9" s="2077"/>
      <c r="I9" s="2079"/>
      <c r="J9" s="2078"/>
      <c r="K9" s="1281"/>
      <c r="L9" s="1282"/>
      <c r="P9" s="1995"/>
      <c r="Q9" s="1995"/>
      <c r="R9" s="277"/>
      <c r="S9" s="1200"/>
      <c r="T9" s="202" t="s">
        <v>1681</v>
      </c>
      <c r="U9" s="291"/>
      <c r="V9" s="291"/>
      <c r="W9" s="291"/>
      <c r="X9" s="291"/>
      <c r="Y9" s="291"/>
      <c r="Z9" s="291"/>
      <c r="AA9" s="291"/>
      <c r="AB9" s="291"/>
      <c r="AC9" s="291"/>
      <c r="AD9" s="291"/>
      <c r="AE9" s="291"/>
      <c r="AF9" s="291"/>
      <c r="AG9" s="291"/>
      <c r="AH9" s="291"/>
      <c r="AI9" s="291"/>
      <c r="AJ9" s="291"/>
      <c r="AK9" s="1179" t="s">
        <v>1682</v>
      </c>
      <c r="AM9" s="426"/>
      <c r="AN9" s="426" t="str">
        <f t="shared" si="0"/>
        <v>Добавить значение признака дифференциации</v>
      </c>
      <c r="AO9" s="426"/>
      <c r="AP9" s="426"/>
    </row>
    <row r="10" spans="1:42" ht="21" hidden="1" customHeight="1">
      <c r="A10" s="1281"/>
      <c r="B10" s="1281"/>
      <c r="C10" s="1281"/>
      <c r="D10" s="1281"/>
      <c r="E10" s="2077"/>
      <c r="F10" s="2077"/>
      <c r="G10" s="2077"/>
      <c r="H10" s="2077"/>
      <c r="I10" s="2078"/>
      <c r="J10" s="1281"/>
      <c r="K10" s="1281"/>
      <c r="L10" s="1282"/>
      <c r="P10" s="1995"/>
      <c r="Q10" s="1393"/>
      <c r="R10" s="277"/>
      <c r="S10" s="1200"/>
      <c r="T10" s="288" t="s">
        <v>475</v>
      </c>
      <c r="U10" s="291"/>
      <c r="V10" s="291"/>
      <c r="W10" s="291"/>
      <c r="X10" s="291"/>
      <c r="Y10" s="291"/>
      <c r="Z10" s="291"/>
      <c r="AA10" s="291"/>
      <c r="AB10" s="290"/>
      <c r="AC10" s="291"/>
      <c r="AD10" s="291"/>
      <c r="AE10" s="291"/>
      <c r="AF10" s="291"/>
      <c r="AG10" s="291"/>
      <c r="AH10" s="291"/>
      <c r="AI10" s="290"/>
      <c r="AJ10" s="291"/>
      <c r="AK10" s="1357"/>
      <c r="AM10" s="426"/>
      <c r="AN10" s="426" t="str">
        <f t="shared" si="0"/>
        <v>Добавить группу потребителей</v>
      </c>
      <c r="AO10" s="426"/>
      <c r="AP10" s="426"/>
    </row>
    <row r="11" spans="1:42" ht="21" hidden="1" customHeight="1">
      <c r="A11" s="1281"/>
      <c r="B11" s="1281"/>
      <c r="C11" s="1281"/>
      <c r="D11" s="1281"/>
      <c r="E11" s="2077"/>
      <c r="F11" s="2077"/>
      <c r="G11" s="2077"/>
      <c r="H11" s="2076"/>
      <c r="I11" s="1281"/>
      <c r="J11" s="1281"/>
      <c r="K11" s="1281"/>
      <c r="L11" s="1282"/>
      <c r="M11" s="1283"/>
      <c r="N11" s="1283"/>
      <c r="O11" s="462"/>
      <c r="P11" s="281"/>
      <c r="Q11" s="299"/>
      <c r="R11" s="276"/>
      <c r="S11" s="1200"/>
      <c r="T11" s="296" t="s">
        <v>1683</v>
      </c>
      <c r="U11" s="291"/>
      <c r="V11" s="291"/>
      <c r="W11" s="291"/>
      <c r="X11" s="291"/>
      <c r="Y11" s="291"/>
      <c r="Z11" s="291"/>
      <c r="AA11" s="291"/>
      <c r="AB11" s="290"/>
      <c r="AC11" s="291"/>
      <c r="AD11" s="291"/>
      <c r="AE11" s="291"/>
      <c r="AF11" s="291"/>
      <c r="AG11" s="291"/>
      <c r="AH11" s="291"/>
      <c r="AI11" s="290"/>
      <c r="AJ11" s="291"/>
      <c r="AK11" s="217"/>
      <c r="AM11" s="426"/>
      <c r="AN11" s="426" t="str">
        <f t="shared" si="0"/>
        <v>Добавить наименование признака дифференциации</v>
      </c>
      <c r="AO11" s="426"/>
      <c r="AP11" s="426"/>
    </row>
    <row r="12" spans="1:42" s="1559" customFormat="1" ht="14.25" hidden="1" customHeight="1">
      <c r="A12" s="1262"/>
      <c r="B12" s="1262"/>
      <c r="C12" s="1234"/>
      <c r="D12" s="1234"/>
      <c r="E12" s="2077"/>
      <c r="F12" s="2076"/>
      <c r="G12" s="1234"/>
      <c r="H12" s="1234"/>
      <c r="I12" s="1234"/>
      <c r="J12" s="1234"/>
      <c r="K12" s="1234"/>
      <c r="L12" s="1406"/>
      <c r="M12" s="1241"/>
      <c r="N12" s="1241"/>
      <c r="P12" s="1236"/>
      <c r="Q12" s="1237"/>
      <c r="R12" s="1236"/>
      <c r="S12" s="1242"/>
      <c r="T12" s="1245" t="s">
        <v>434</v>
      </c>
      <c r="U12" s="1244"/>
      <c r="V12" s="1244"/>
      <c r="W12" s="1244"/>
      <c r="X12" s="1244"/>
      <c r="Y12" s="1244"/>
      <c r="Z12" s="1244"/>
      <c r="AA12" s="1244"/>
      <c r="AB12" s="1244"/>
      <c r="AC12" s="1244"/>
      <c r="AD12" s="1244"/>
      <c r="AE12" s="1244"/>
      <c r="AF12" s="1244"/>
      <c r="AG12" s="1244"/>
      <c r="AH12" s="1244"/>
      <c r="AI12" s="1244"/>
      <c r="AJ12" s="1244"/>
      <c r="AK12" s="1244"/>
      <c r="AM12" s="702"/>
      <c r="AN12" s="702" t="str">
        <f t="shared" si="0"/>
        <v>Добавить централизованную систему для дифференциации</v>
      </c>
      <c r="AO12" s="702"/>
      <c r="AP12" s="702"/>
    </row>
    <row r="13" spans="1:42" s="1559" customFormat="1" ht="14.25" hidden="1" customHeight="1">
      <c r="A13" s="1262"/>
      <c r="B13" s="1262"/>
      <c r="C13" s="1262"/>
      <c r="D13" s="1262"/>
      <c r="E13" s="2076"/>
      <c r="F13" s="1262"/>
      <c r="G13" s="1262"/>
      <c r="H13" s="1262"/>
      <c r="I13" s="1262"/>
      <c r="J13" s="1262"/>
      <c r="K13" s="1262"/>
      <c r="L13" s="1265"/>
      <c r="M13" s="1241"/>
      <c r="N13" s="1241"/>
      <c r="O13" s="444"/>
      <c r="P13" s="308"/>
      <c r="Q13" s="1263"/>
      <c r="R13" s="308"/>
      <c r="S13" s="1242"/>
      <c r="T13" s="1245" t="s">
        <v>435</v>
      </c>
      <c r="U13" s="1244"/>
      <c r="V13" s="1244"/>
      <c r="W13" s="1244"/>
      <c r="X13" s="1244"/>
      <c r="Y13" s="1244"/>
      <c r="Z13" s="1244"/>
      <c r="AA13" s="1244"/>
      <c r="AB13" s="1244"/>
      <c r="AC13" s="1244"/>
      <c r="AD13" s="1244"/>
      <c r="AE13" s="1244"/>
      <c r="AF13" s="1244"/>
      <c r="AG13" s="1244"/>
      <c r="AH13" s="1244"/>
      <c r="AI13" s="1244"/>
      <c r="AJ13" s="1244"/>
      <c r="AK13" s="1244"/>
      <c r="AM13" s="426"/>
      <c r="AN13" s="426" t="str">
        <f t="shared" si="0"/>
        <v>Добавить территорию для дифференциации</v>
      </c>
      <c r="AO13" s="426"/>
      <c r="AP13" s="426"/>
    </row>
    <row r="14" spans="1:42" ht="14.25" hidden="1" customHeight="1">
      <c r="AB14" s="249"/>
      <c r="AI14" s="249"/>
    </row>
    <row r="15" spans="1:42" ht="14.25" hidden="1" customHeight="1">
      <c r="AC15" s="1278"/>
      <c r="AD15" s="1278"/>
      <c r="AE15" s="1279"/>
      <c r="AF15" s="2074"/>
      <c r="AG15" s="2073" t="s">
        <v>59</v>
      </c>
      <c r="AH15" s="2074"/>
      <c r="AI15" s="2073" t="s">
        <v>59</v>
      </c>
    </row>
    <row r="16" spans="1:42" ht="14.25" hidden="1" customHeight="1">
      <c r="AC16" s="1278"/>
      <c r="AD16" s="1278"/>
      <c r="AE16" s="250" t="str">
        <f>AF15&amp;"-"&amp;AH15</f>
        <v>-</v>
      </c>
      <c r="AF16" s="2073"/>
      <c r="AG16" s="2073"/>
      <c r="AH16" s="2073"/>
      <c r="AI16" s="2073"/>
    </row>
    <row r="17" spans="1:42" ht="14.25" hidden="1" customHeight="1">
      <c r="AI17" s="249"/>
    </row>
    <row r="18" spans="1:42" s="1284" customFormat="1" ht="22.5" hidden="1" customHeight="1">
      <c r="L18" s="1390"/>
      <c r="M18" s="1280"/>
      <c r="N18" s="1280"/>
      <c r="O18" s="1285" t="s">
        <v>477</v>
      </c>
      <c r="P18" s="1280"/>
      <c r="Q18" s="1289"/>
      <c r="R18" s="1289"/>
      <c r="S18" s="645"/>
      <c r="Y18" s="1285"/>
      <c r="AA18" s="1285"/>
      <c r="AF18" s="1285"/>
      <c r="AH18" s="1285"/>
      <c r="AL18" s="437"/>
      <c r="AM18" s="437"/>
      <c r="AN18" s="437"/>
      <c r="AO18" s="437"/>
      <c r="AP18" s="437"/>
    </row>
    <row r="19" spans="1:42" s="1284" customFormat="1" ht="14.25" hidden="1" customHeight="1">
      <c r="L19" s="1390"/>
      <c r="M19" s="1280"/>
      <c r="N19" s="1280"/>
      <c r="O19" s="1280"/>
      <c r="P19" s="1280"/>
      <c r="Q19" s="1289"/>
      <c r="R19" s="1289"/>
      <c r="S19" s="645"/>
      <c r="AL19" s="437"/>
      <c r="AM19" s="437"/>
      <c r="AN19" s="437"/>
      <c r="AO19" s="437"/>
      <c r="AP19" s="437"/>
    </row>
    <row r="20" spans="1:42" s="1284" customFormat="1" ht="12" hidden="1" customHeight="1">
      <c r="L20" s="1390"/>
      <c r="M20" s="1280"/>
      <c r="N20" s="1280"/>
      <c r="O20" s="1282" t="s">
        <v>478</v>
      </c>
      <c r="P20" s="1280"/>
      <c r="Q20" s="1358"/>
      <c r="R20" s="1358"/>
      <c r="S20" s="645"/>
      <c r="T20" s="1062" t="s">
        <v>479</v>
      </c>
      <c r="Z20" s="104" t="s">
        <v>480</v>
      </c>
      <c r="AB20" s="104" t="s">
        <v>481</v>
      </c>
      <c r="AC20" s="1062" t="s">
        <v>479</v>
      </c>
      <c r="AG20" s="104" t="s">
        <v>482</v>
      </c>
      <c r="AI20" s="104" t="s">
        <v>481</v>
      </c>
    </row>
    <row r="21" spans="1:42" ht="14.25" hidden="1" customHeight="1">
      <c r="O21" s="1282"/>
    </row>
    <row r="22" spans="1:42" ht="14.25" hidden="1" customHeight="1">
      <c r="O22" s="1282"/>
    </row>
    <row r="23" spans="1:42" ht="14.25" customHeight="1">
      <c r="Q23" s="300"/>
      <c r="R23" s="300"/>
      <c r="S23" s="1197"/>
      <c r="T23" s="286"/>
      <c r="U23" s="286"/>
      <c r="V23" s="435"/>
      <c r="W23" s="435"/>
      <c r="X23" s="435"/>
      <c r="Y23" s="435"/>
      <c r="Z23" s="435"/>
      <c r="AA23" s="435"/>
      <c r="AB23" s="435"/>
      <c r="AC23" s="435"/>
      <c r="AD23" s="435"/>
      <c r="AE23" s="435"/>
      <c r="AF23" s="435"/>
      <c r="AG23" s="435"/>
      <c r="AH23" s="435"/>
      <c r="AI23" s="435"/>
    </row>
    <row r="24" spans="1:42" ht="32.25" customHeight="1">
      <c r="Q24" s="300"/>
      <c r="R24" s="300"/>
      <c r="S24" s="2101" t="str">
        <f>IF(TEMPLATE_GROUP="P",PT_P_FORM_HOTVSNA_4_NAME_FORM,PT_R_FORM_HOTVSNA_16_NAME_FORM)</f>
        <v>Форма 16. Информация о предложении расчетной величины тарифов организации горячего водоснабжения об установлении тарифов в сфере горячего водоснабжения на очередной период регулирования &lt;1&gt;</v>
      </c>
      <c r="T24" s="2101"/>
      <c r="U24" s="2101"/>
      <c r="V24" s="2101"/>
      <c r="W24" s="2101"/>
      <c r="X24" s="2101"/>
      <c r="Y24" s="2101"/>
      <c r="Z24" s="2101"/>
      <c r="AA24" s="2101"/>
      <c r="AB24" s="2101"/>
      <c r="AC24" s="2101"/>
      <c r="AD24" s="2101"/>
      <c r="AE24" s="2101"/>
      <c r="AF24" s="2101"/>
      <c r="AG24" s="2101"/>
      <c r="AH24" s="2101"/>
      <c r="AI24" s="1154"/>
    </row>
    <row r="25" spans="1:42" ht="14.25" customHeight="1">
      <c r="Q25" s="300"/>
      <c r="R25" s="300"/>
      <c r="S25" s="1961" t="str">
        <f>IF(org=0,"Не определено",org)</f>
        <v>АО СЗ "КМАпроектжилстрой"</v>
      </c>
      <c r="T25" s="1961"/>
      <c r="U25" s="1961"/>
      <c r="V25" s="1961"/>
      <c r="W25" s="1961"/>
      <c r="X25" s="1961"/>
      <c r="Y25" s="1961"/>
      <c r="Z25" s="1961"/>
      <c r="AA25" s="1961"/>
      <c r="AB25" s="1961"/>
      <c r="AC25" s="1961"/>
      <c r="AD25" s="1961"/>
      <c r="AE25" s="1961"/>
      <c r="AF25" s="1961"/>
      <c r="AG25" s="1961"/>
      <c r="AH25" s="1961"/>
      <c r="AI25" s="1154"/>
    </row>
    <row r="26" spans="1:42" ht="14.25" hidden="1" customHeight="1">
      <c r="Q26" s="300"/>
      <c r="R26" s="300"/>
      <c r="S26" s="1197"/>
      <c r="T26" s="286"/>
      <c r="U26" s="286"/>
      <c r="V26" s="242"/>
      <c r="W26" s="242"/>
      <c r="X26" s="242"/>
      <c r="Y26" s="242"/>
      <c r="Z26" s="242"/>
      <c r="AA26" s="242"/>
      <c r="AB26" s="242"/>
      <c r="AC26" s="242"/>
      <c r="AD26" s="242"/>
      <c r="AE26" s="242"/>
      <c r="AF26" s="242"/>
      <c r="AG26" s="242"/>
      <c r="AH26" s="242"/>
      <c r="AI26" s="242"/>
      <c r="AJ26" s="435"/>
    </row>
    <row r="27" spans="1:42" s="1773" customFormat="1" ht="25.5" hidden="1" customHeight="1">
      <c r="A27" s="1286"/>
      <c r="B27" s="1286"/>
      <c r="C27" s="1286"/>
      <c r="D27" s="1286"/>
      <c r="E27" s="1286"/>
      <c r="F27" s="1286"/>
      <c r="G27" s="1286"/>
      <c r="H27" s="1286"/>
      <c r="I27" s="1286"/>
      <c r="J27" s="1286"/>
      <c r="K27" s="1286"/>
      <c r="L27" s="1287"/>
      <c r="M27" s="1286"/>
      <c r="N27" s="1286"/>
      <c r="O27" s="1286"/>
      <c r="S27" s="2067" t="s">
        <v>40</v>
      </c>
      <c r="T27" s="2067"/>
      <c r="U27" s="1290"/>
      <c r="V27" s="2069" t="str">
        <f>IF(TITLE_NAME_OR_PR_CHANGE="",IF(TITLE_NAME_OR_PR="","",TITLE_NAME_OR_PR),TITLE_NAME_OR_PR_CHANGE)</f>
        <v/>
      </c>
      <c r="W27" s="2069"/>
      <c r="X27" s="2069"/>
      <c r="Y27" s="2069"/>
      <c r="Z27" s="2069"/>
      <c r="AA27" s="2069"/>
      <c r="AB27" s="248"/>
      <c r="AC27" s="2069" t="str">
        <f>IF(TITLE_NAME_OR_PR_CHANGE="",IF(TITLE_NAME_OR_PR="","",TITLE_NAME_OR_PR),TITLE_NAME_OR_PR_CHANGE)</f>
        <v/>
      </c>
      <c r="AD27" s="2069"/>
      <c r="AE27" s="2069"/>
      <c r="AF27" s="2069"/>
      <c r="AG27" s="2069"/>
      <c r="AH27" s="2069"/>
      <c r="AI27" s="248"/>
      <c r="AJ27" s="248"/>
      <c r="AK27" s="196"/>
      <c r="AL27" s="292"/>
      <c r="AM27" s="292"/>
      <c r="AN27" s="292"/>
      <c r="AO27" s="292"/>
      <c r="AP27" s="292"/>
    </row>
    <row r="28" spans="1:42" s="1773" customFormat="1" ht="18.75" hidden="1" customHeight="1">
      <c r="A28" s="1286"/>
      <c r="B28" s="1286"/>
      <c r="C28" s="1286"/>
      <c r="D28" s="1286"/>
      <c r="E28" s="1286"/>
      <c r="F28" s="1286"/>
      <c r="G28" s="1286"/>
      <c r="H28" s="1286"/>
      <c r="I28" s="1286"/>
      <c r="J28" s="1286"/>
      <c r="K28" s="1286"/>
      <c r="L28" s="1287"/>
      <c r="M28" s="1286"/>
      <c r="N28" s="1286"/>
      <c r="O28" s="1286"/>
      <c r="S28" s="2067" t="s">
        <v>483</v>
      </c>
      <c r="T28" s="2067"/>
      <c r="U28" s="1290"/>
      <c r="V28" s="2068" t="str">
        <f>IF(TITLE_DATE_CHANGE_PERIOD="",IF(TITLE_DATE_PR="","",TITLE_DATE_PR),TITLE_DATE_CHANGE_PERIOD)</f>
        <v/>
      </c>
      <c r="W28" s="2068"/>
      <c r="X28" s="2068"/>
      <c r="Y28" s="2068"/>
      <c r="Z28" s="2068"/>
      <c r="AA28" s="2068"/>
      <c r="AB28" s="248"/>
      <c r="AC28" s="2068" t="str">
        <f>IF(TITLE_DATE_CHANGE_PERIOD="",IF(TITLE_DATE_PR="","",TITLE_DATE_PR),TITLE_DATE_CHANGE_PERIOD)</f>
        <v/>
      </c>
      <c r="AD28" s="2068"/>
      <c r="AE28" s="2068"/>
      <c r="AF28" s="2068"/>
      <c r="AG28" s="2068"/>
      <c r="AH28" s="2068"/>
      <c r="AI28" s="248"/>
      <c r="AJ28" s="248"/>
      <c r="AK28" s="196"/>
      <c r="AL28" s="292"/>
      <c r="AM28" s="292"/>
      <c r="AN28" s="292"/>
      <c r="AO28" s="292"/>
      <c r="AP28" s="292"/>
    </row>
    <row r="29" spans="1:42" s="1773" customFormat="1" ht="18.75" hidden="1" customHeight="1">
      <c r="A29" s="1286"/>
      <c r="B29" s="1286"/>
      <c r="C29" s="1286"/>
      <c r="D29" s="1286"/>
      <c r="E29" s="1286"/>
      <c r="F29" s="1286"/>
      <c r="G29" s="1286"/>
      <c r="H29" s="1286"/>
      <c r="I29" s="1286"/>
      <c r="J29" s="1286"/>
      <c r="K29" s="1286"/>
      <c r="L29" s="1287"/>
      <c r="M29" s="1286"/>
      <c r="N29" s="1286"/>
      <c r="O29" s="1286"/>
      <c r="S29" s="2067" t="s">
        <v>484</v>
      </c>
      <c r="T29" s="2067"/>
      <c r="U29" s="1290"/>
      <c r="V29" s="2069" t="str">
        <f>IF(TITLE_NUMBER_PR_CHANGE="",IF(TITLE_NUMBER_PR="","",TITLE_NUMBER_PR),TITLE_NUMBER_PR_CHANGE)</f>
        <v/>
      </c>
      <c r="W29" s="2069"/>
      <c r="X29" s="2069"/>
      <c r="Y29" s="2069"/>
      <c r="Z29" s="2069"/>
      <c r="AA29" s="2069"/>
      <c r="AB29" s="248"/>
      <c r="AC29" s="2069" t="str">
        <f>IF(TITLE_NUMBER_PR_CHANGE="",IF(TITLE_NUMBER_PR="","",TITLE_NUMBER_PR),TITLE_NUMBER_PR_CHANGE)</f>
        <v/>
      </c>
      <c r="AD29" s="2069"/>
      <c r="AE29" s="2069"/>
      <c r="AF29" s="2069"/>
      <c r="AG29" s="2069"/>
      <c r="AH29" s="2069"/>
      <c r="AI29" s="248"/>
      <c r="AJ29" s="248"/>
      <c r="AK29" s="196"/>
      <c r="AL29" s="292"/>
      <c r="AM29" s="292"/>
      <c r="AN29" s="292"/>
      <c r="AO29" s="292"/>
      <c r="AP29" s="292"/>
    </row>
    <row r="30" spans="1:42" s="1773" customFormat="1" ht="18.75" hidden="1" customHeight="1">
      <c r="A30" s="1286"/>
      <c r="B30" s="1286"/>
      <c r="C30" s="1286"/>
      <c r="D30" s="1286"/>
      <c r="E30" s="1286"/>
      <c r="F30" s="1286"/>
      <c r="G30" s="1286"/>
      <c r="H30" s="1286"/>
      <c r="I30" s="1286"/>
      <c r="J30" s="1286"/>
      <c r="K30" s="1286"/>
      <c r="L30" s="1287"/>
      <c r="M30" s="1286"/>
      <c r="N30" s="1286"/>
      <c r="O30" s="1286"/>
      <c r="S30" s="2067" t="s">
        <v>41</v>
      </c>
      <c r="T30" s="2067"/>
      <c r="U30" s="1290"/>
      <c r="V30" s="2069" t="str">
        <f>IF(TITLE_IST_PUB_CHANGE="",IF(TITLE_IST_PUB="","",TITLE_IST_PUB),TITLE_IST_PUB_CHANGE)</f>
        <v/>
      </c>
      <c r="W30" s="2069"/>
      <c r="X30" s="2069"/>
      <c r="Y30" s="2069"/>
      <c r="Z30" s="2069"/>
      <c r="AA30" s="2069"/>
      <c r="AB30" s="248"/>
      <c r="AC30" s="2069" t="str">
        <f>IF(TITLE_IST_PUB_CHANGE="",IF(TITLE_IST_PUB="","",TITLE_IST_PUB),TITLE_IST_PUB_CHANGE)</f>
        <v/>
      </c>
      <c r="AD30" s="2069"/>
      <c r="AE30" s="2069"/>
      <c r="AF30" s="2069"/>
      <c r="AG30" s="2069"/>
      <c r="AH30" s="2069"/>
      <c r="AI30" s="248"/>
      <c r="AJ30" s="248"/>
      <c r="AK30" s="196"/>
      <c r="AL30" s="292"/>
      <c r="AM30" s="292"/>
      <c r="AN30" s="292"/>
      <c r="AO30" s="292"/>
      <c r="AP30" s="292"/>
    </row>
    <row r="31" spans="1:42" ht="14.25" hidden="1" customHeight="1">
      <c r="Q31" s="300"/>
      <c r="R31" s="300"/>
      <c r="S31" s="1197"/>
      <c r="T31" s="286"/>
      <c r="U31" s="286"/>
      <c r="V31" s="242"/>
      <c r="W31" s="242"/>
      <c r="X31" s="242"/>
      <c r="Y31" s="242"/>
      <c r="Z31" s="242"/>
      <c r="AA31" s="242"/>
      <c r="AB31" s="242"/>
      <c r="AC31" s="242"/>
      <c r="AD31" s="242"/>
      <c r="AE31" s="242"/>
      <c r="AF31" s="242"/>
      <c r="AG31" s="242"/>
      <c r="AH31" s="242"/>
      <c r="AI31" s="242"/>
      <c r="AJ31" s="435"/>
    </row>
    <row r="32" spans="1:42" s="1773" customFormat="1" ht="18.75" hidden="1" customHeight="1">
      <c r="A32" s="1286"/>
      <c r="B32" s="1286"/>
      <c r="C32" s="1286"/>
      <c r="D32" s="1286"/>
      <c r="E32" s="1286"/>
      <c r="F32" s="1286"/>
      <c r="G32" s="1286"/>
      <c r="H32" s="1286"/>
      <c r="I32" s="1286"/>
      <c r="J32" s="1286"/>
      <c r="K32" s="1286"/>
      <c r="L32" s="1287"/>
      <c r="M32" s="1286"/>
      <c r="N32" s="1286"/>
      <c r="O32" s="1286"/>
      <c r="S32" s="2067" t="s">
        <v>485</v>
      </c>
      <c r="T32" s="2067"/>
      <c r="U32" s="1290"/>
      <c r="V32" s="2068" t="str">
        <f>IF(TITLE_DATE_CHANGE_PERIOD="",IF(TITLE_DATE_PR="","",TITLE_DATE_PR),TITLE_DATE_CHANGE_PERIOD)</f>
        <v/>
      </c>
      <c r="W32" s="2068"/>
      <c r="X32" s="2068"/>
      <c r="Y32" s="2068"/>
      <c r="Z32" s="2068"/>
      <c r="AA32" s="2068"/>
      <c r="AB32" s="248"/>
      <c r="AC32" s="2068" t="str">
        <f>IF(TITLE_DATE_CHANGE_PERIOD="",IF(TITLE_DATE_PR="","",TITLE_DATE_PR),TITLE_DATE_CHANGE_PERIOD)</f>
        <v/>
      </c>
      <c r="AD32" s="2068"/>
      <c r="AE32" s="2068"/>
      <c r="AF32" s="2068"/>
      <c r="AG32" s="2068"/>
      <c r="AH32" s="2068"/>
      <c r="AI32" s="248"/>
      <c r="AJ32" s="248"/>
      <c r="AK32" s="196"/>
      <c r="AL32" s="292"/>
      <c r="AM32" s="292"/>
      <c r="AN32" s="292"/>
      <c r="AO32" s="292"/>
      <c r="AP32" s="292"/>
    </row>
    <row r="33" spans="1:42" s="1773" customFormat="1" ht="18.75" hidden="1" customHeight="1">
      <c r="A33" s="1286"/>
      <c r="B33" s="1286"/>
      <c r="C33" s="1286"/>
      <c r="D33" s="1286"/>
      <c r="E33" s="1286"/>
      <c r="F33" s="1286"/>
      <c r="G33" s="1286"/>
      <c r="H33" s="1286"/>
      <c r="I33" s="1286"/>
      <c r="J33" s="1286"/>
      <c r="K33" s="1286"/>
      <c r="L33" s="1287"/>
      <c r="M33" s="1286"/>
      <c r="N33" s="1286"/>
      <c r="O33" s="1286"/>
      <c r="S33" s="2067" t="s">
        <v>486</v>
      </c>
      <c r="T33" s="2067"/>
      <c r="U33" s="1290"/>
      <c r="V33" s="2069" t="str">
        <f>IF(TITLE_NUMBER_PR_CHANGE="",IF(TITLE_NUMBER_PR="","",TITLE_NUMBER_PR),TITLE_NUMBER_PR_CHANGE)</f>
        <v/>
      </c>
      <c r="W33" s="2069"/>
      <c r="X33" s="2069"/>
      <c r="Y33" s="2069"/>
      <c r="Z33" s="2069"/>
      <c r="AA33" s="2069"/>
      <c r="AB33" s="248"/>
      <c r="AC33" s="2069" t="str">
        <f>IF(TITLE_NUMBER_PR_CHANGE="",IF(TITLE_NUMBER_PR="","",TITLE_NUMBER_PR),TITLE_NUMBER_PR_CHANGE)</f>
        <v/>
      </c>
      <c r="AD33" s="2069"/>
      <c r="AE33" s="2069"/>
      <c r="AF33" s="2069"/>
      <c r="AG33" s="2069"/>
      <c r="AH33" s="2069"/>
      <c r="AI33" s="248"/>
      <c r="AJ33" s="248"/>
      <c r="AK33" s="196"/>
      <c r="AL33" s="292"/>
      <c r="AM33" s="292"/>
      <c r="AN33" s="292"/>
      <c r="AO33" s="292"/>
      <c r="AP33" s="292"/>
    </row>
    <row r="34" spans="1:42" s="1773" customFormat="1" ht="0.75" customHeight="1">
      <c r="A34" s="1286"/>
      <c r="B34" s="1286"/>
      <c r="C34" s="1286"/>
      <c r="D34" s="1286"/>
      <c r="E34" s="1286"/>
      <c r="F34" s="1286"/>
      <c r="G34" s="1286"/>
      <c r="H34" s="1286"/>
      <c r="I34" s="1286"/>
      <c r="J34" s="1286"/>
      <c r="K34" s="1286"/>
      <c r="L34" s="1287"/>
      <c r="M34" s="1286"/>
      <c r="N34" s="1286"/>
      <c r="O34" s="1286"/>
      <c r="S34" s="244"/>
      <c r="T34" s="244"/>
      <c r="U34" s="1400"/>
      <c r="V34" s="248"/>
      <c r="W34" s="248"/>
      <c r="X34" s="248"/>
      <c r="Y34" s="248"/>
      <c r="Z34" s="248"/>
      <c r="AA34" s="248"/>
      <c r="AB34" s="194" t="s">
        <v>487</v>
      </c>
      <c r="AC34" s="248"/>
      <c r="AD34" s="248"/>
      <c r="AE34" s="248"/>
      <c r="AF34" s="248"/>
      <c r="AG34" s="248"/>
      <c r="AH34" s="248"/>
      <c r="AI34" s="194" t="s">
        <v>487</v>
      </c>
      <c r="AL34" s="292"/>
      <c r="AM34" s="292"/>
      <c r="AN34" s="292"/>
      <c r="AO34" s="292"/>
      <c r="AP34" s="292"/>
    </row>
    <row r="35" spans="1:42" ht="14.25" customHeight="1">
      <c r="Q35" s="300"/>
      <c r="R35" s="300"/>
      <c r="S35" s="1197"/>
      <c r="T35" s="286"/>
      <c r="U35" s="1155"/>
      <c r="V35" s="2087"/>
      <c r="W35" s="2087"/>
      <c r="X35" s="2087"/>
      <c r="Y35" s="2087"/>
      <c r="Z35" s="2087"/>
      <c r="AA35" s="2087"/>
      <c r="AB35" s="2087"/>
      <c r="AC35" s="2087"/>
      <c r="AD35" s="2087"/>
      <c r="AE35" s="2087"/>
      <c r="AF35" s="2087"/>
      <c r="AG35" s="2087"/>
      <c r="AH35" s="2087"/>
      <c r="AI35" s="2087"/>
    </row>
    <row r="36" spans="1:42" ht="14.25" customHeight="1">
      <c r="Q36" s="300"/>
      <c r="R36" s="300"/>
      <c r="S36" s="1874" t="s">
        <v>291</v>
      </c>
      <c r="T36" s="1874"/>
      <c r="U36" s="1874"/>
      <c r="V36" s="1874"/>
      <c r="W36" s="1874"/>
      <c r="X36" s="1874"/>
      <c r="Y36" s="1874"/>
      <c r="Z36" s="1874"/>
      <c r="AA36" s="1874"/>
      <c r="AB36" s="1874"/>
      <c r="AC36" s="1874"/>
      <c r="AD36" s="1874"/>
      <c r="AE36" s="1874"/>
      <c r="AF36" s="1874"/>
      <c r="AG36" s="1874"/>
      <c r="AH36" s="1874"/>
      <c r="AI36" s="1874"/>
      <c r="AJ36" s="1874"/>
      <c r="AK36" s="1874" t="s">
        <v>292</v>
      </c>
    </row>
    <row r="37" spans="1:42" ht="14.25" customHeight="1">
      <c r="Q37" s="300"/>
      <c r="R37" s="300"/>
      <c r="S37" s="2088" t="s">
        <v>88</v>
      </c>
      <c r="T37" s="1959" t="s">
        <v>488</v>
      </c>
      <c r="U37" s="215"/>
      <c r="V37" s="2089" t="s">
        <v>489</v>
      </c>
      <c r="W37" s="2090"/>
      <c r="X37" s="2090"/>
      <c r="Y37" s="2090"/>
      <c r="Z37" s="2090"/>
      <c r="AA37" s="2091"/>
      <c r="AB37" s="2092" t="s">
        <v>490</v>
      </c>
      <c r="AC37" s="2089" t="s">
        <v>489</v>
      </c>
      <c r="AD37" s="2090"/>
      <c r="AE37" s="2090"/>
      <c r="AF37" s="2090"/>
      <c r="AG37" s="2090"/>
      <c r="AH37" s="2091"/>
      <c r="AI37" s="2092" t="s">
        <v>491</v>
      </c>
      <c r="AJ37" s="2095" t="s">
        <v>492</v>
      </c>
      <c r="AK37" s="1874"/>
    </row>
    <row r="38" spans="1:42" ht="33.75" customHeight="1">
      <c r="Q38" s="300"/>
      <c r="R38" s="300"/>
      <c r="S38" s="2088"/>
      <c r="T38" s="1959"/>
      <c r="U38" s="939"/>
      <c r="V38" s="1395" t="s">
        <v>2054</v>
      </c>
      <c r="W38" s="1856" t="s">
        <v>2055</v>
      </c>
      <c r="X38" s="1855"/>
      <c r="Y38" s="1856" t="s">
        <v>496</v>
      </c>
      <c r="Z38" s="1861"/>
      <c r="AA38" s="1855"/>
      <c r="AB38" s="2093"/>
      <c r="AC38" s="1395" t="s">
        <v>2054</v>
      </c>
      <c r="AD38" s="1856" t="s">
        <v>2055</v>
      </c>
      <c r="AE38" s="1855"/>
      <c r="AF38" s="1856" t="s">
        <v>496</v>
      </c>
      <c r="AG38" s="1861"/>
      <c r="AH38" s="1855"/>
      <c r="AI38" s="2093"/>
      <c r="AJ38" s="2096"/>
      <c r="AK38" s="1874"/>
    </row>
    <row r="39" spans="1:42" ht="86.25" customHeight="1">
      <c r="A39" s="1288"/>
      <c r="B39" s="1288" t="s">
        <v>140</v>
      </c>
      <c r="C39" s="1288" t="s">
        <v>141</v>
      </c>
      <c r="D39" s="1288" t="s">
        <v>142</v>
      </c>
      <c r="E39" s="1282" t="s">
        <v>497</v>
      </c>
      <c r="F39" s="1282" t="s">
        <v>498</v>
      </c>
      <c r="G39" s="1282" t="s">
        <v>499</v>
      </c>
      <c r="H39" s="1282"/>
      <c r="I39" s="1282" t="s">
        <v>1685</v>
      </c>
      <c r="J39" s="1282" t="s">
        <v>502</v>
      </c>
      <c r="K39" s="1282" t="s">
        <v>1686</v>
      </c>
      <c r="L39" s="1282" t="s">
        <v>478</v>
      </c>
      <c r="Q39" s="300"/>
      <c r="R39" s="300"/>
      <c r="S39" s="2088"/>
      <c r="T39" s="1959"/>
      <c r="U39" s="216"/>
      <c r="V39" s="1395" t="s">
        <v>2056</v>
      </c>
      <c r="W39" s="1130" t="s">
        <v>2057</v>
      </c>
      <c r="X39" s="1130" t="s">
        <v>2058</v>
      </c>
      <c r="Y39" s="1401" t="s">
        <v>506</v>
      </c>
      <c r="Z39" s="1965" t="s">
        <v>507</v>
      </c>
      <c r="AA39" s="1979"/>
      <c r="AB39" s="2094"/>
      <c r="AC39" s="1395" t="s">
        <v>2056</v>
      </c>
      <c r="AD39" s="1130" t="s">
        <v>2057</v>
      </c>
      <c r="AE39" s="1130" t="s">
        <v>2058</v>
      </c>
      <c r="AF39" s="1401" t="s">
        <v>506</v>
      </c>
      <c r="AG39" s="1965" t="s">
        <v>507</v>
      </c>
      <c r="AH39" s="1979"/>
      <c r="AI39" s="2094"/>
      <c r="AJ39" s="2097"/>
      <c r="AK39" s="1874"/>
    </row>
    <row r="40" spans="1:42" s="1558" customFormat="1" ht="11.25" hidden="1" customHeight="1">
      <c r="A40" s="1288"/>
      <c r="B40" s="1288"/>
      <c r="C40" s="1288"/>
      <c r="D40" s="1288"/>
      <c r="E40" s="1288"/>
      <c r="F40" s="1288"/>
      <c r="G40" s="1288"/>
      <c r="H40" s="1288"/>
      <c r="I40" s="1288"/>
      <c r="J40" s="1288"/>
      <c r="K40" s="1288"/>
      <c r="L40" s="1282"/>
      <c r="M40" s="1280"/>
      <c r="N40" s="1280"/>
      <c r="O40" s="1280"/>
      <c r="P40" s="1157"/>
      <c r="Q40" s="1158"/>
      <c r="R40" s="1173">
        <v>1</v>
      </c>
      <c r="S40" s="1199" t="s">
        <v>109</v>
      </c>
      <c r="T40" s="1174" t="s">
        <v>110</v>
      </c>
      <c r="U40" s="1156" t="str">
        <f ca="1">OFFSET(U40,0,-1)</f>
        <v>2</v>
      </c>
      <c r="V40" s="1394">
        <f ca="1">OFFSET(V40,0,-1)+1</f>
        <v>3</v>
      </c>
      <c r="W40" s="1394">
        <f ca="1">OFFSET(W40,0,-1)+1</f>
        <v>4</v>
      </c>
      <c r="X40" s="1394">
        <f ca="1">OFFSET(X40,0,-1)+1</f>
        <v>5</v>
      </c>
      <c r="Y40" s="1394">
        <f ca="1">OFFSET(Y40,0,-1)+1</f>
        <v>6</v>
      </c>
      <c r="Z40" s="2086">
        <f ca="1">OFFSET(Z40,0,-1)+1</f>
        <v>7</v>
      </c>
      <c r="AA40" s="2086"/>
      <c r="AB40" s="1394">
        <f ca="1">OFFSET(AB40,0,-2)+1</f>
        <v>8</v>
      </c>
      <c r="AC40" s="1394">
        <f ca="1">OFFSET(AC40,0,-1)+1</f>
        <v>9</v>
      </c>
      <c r="AD40" s="1394">
        <f ca="1">OFFSET(AD40,0,-1)+1</f>
        <v>10</v>
      </c>
      <c r="AE40" s="1394">
        <f ca="1">OFFSET(AE40,0,-1)+1</f>
        <v>11</v>
      </c>
      <c r="AF40" s="1394">
        <f ca="1">OFFSET(AF40,0,-1)+1</f>
        <v>12</v>
      </c>
      <c r="AG40" s="2086">
        <f ca="1">OFFSET(AG40,0,-1)+1</f>
        <v>13</v>
      </c>
      <c r="AH40" s="2086"/>
      <c r="AI40" s="1394">
        <f ca="1">OFFSET(AI40,0,-2)+1</f>
        <v>14</v>
      </c>
      <c r="AJ40" s="1156">
        <f ca="1">OFFSET(AJ40,0,-1)</f>
        <v>14</v>
      </c>
      <c r="AK40" s="1394">
        <f ca="1">OFFSET(AK40,0,-1)+1</f>
        <v>15</v>
      </c>
      <c r="AL40" s="437"/>
      <c r="AM40" s="437"/>
      <c r="AN40" s="437"/>
      <c r="AO40" s="437"/>
      <c r="AP40" s="437"/>
    </row>
    <row r="41" spans="1:42" ht="23.25" customHeight="1">
      <c r="A41" s="1281" t="s">
        <v>242</v>
      </c>
      <c r="B41" s="1281"/>
      <c r="C41" s="1281"/>
      <c r="D41" s="1281"/>
      <c r="E41" s="2076">
        <v>1</v>
      </c>
      <c r="F41" s="1281"/>
      <c r="G41" s="1281"/>
      <c r="H41" s="1281"/>
      <c r="I41" s="1281"/>
      <c r="J41" s="1281"/>
      <c r="K41" s="1281"/>
      <c r="L41" s="1282"/>
      <c r="M41" s="1283"/>
      <c r="N41" s="1283"/>
      <c r="O41" s="1283"/>
      <c r="P41" s="282"/>
      <c r="Q41" s="281"/>
      <c r="R41" s="276"/>
      <c r="S41" s="1405">
        <f>INDEX(PT_DIFFERENTIATION_NUM_NTAR,MATCH(A41,PT_DIFFERENTIATION_NTAR_ID,0))</f>
        <v>0</v>
      </c>
      <c r="T41" s="212" t="s">
        <v>128</v>
      </c>
      <c r="U41" s="214"/>
      <c r="V41" s="2070"/>
      <c r="W41" s="2071"/>
      <c r="X41" s="2071"/>
      <c r="Y41" s="2071"/>
      <c r="Z41" s="2071"/>
      <c r="AA41" s="2071"/>
      <c r="AB41" s="2072"/>
      <c r="AC41" s="2070" t="str">
        <f>INDEX(PT_DIFFERENTIATION_NTAR,MATCH(A41,PT_DIFFERENTIATION_NTAR_ID,0))</f>
        <v/>
      </c>
      <c r="AD41" s="2071"/>
      <c r="AE41" s="2071"/>
      <c r="AF41" s="2071"/>
      <c r="AG41" s="2071"/>
      <c r="AH41" s="2071"/>
      <c r="AI41" s="2071"/>
      <c r="AJ41" s="2072"/>
      <c r="AK41" s="117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426"/>
      <c r="AN41" s="426" t="str">
        <f t="shared" ref="AN41:AN53" si="1">IF(T41="","",T41)</f>
        <v>Наименование тарифа</v>
      </c>
      <c r="AO41" s="426"/>
      <c r="AP41" s="426"/>
    </row>
    <row r="42" spans="1:42" ht="23.25" customHeight="1">
      <c r="A42" s="1281" t="s">
        <v>242</v>
      </c>
      <c r="B42" s="1281" t="s">
        <v>243</v>
      </c>
      <c r="C42" s="1281"/>
      <c r="D42" s="1281"/>
      <c r="E42" s="2077"/>
      <c r="F42" s="2076">
        <v>1</v>
      </c>
      <c r="G42" s="1281"/>
      <c r="H42" s="1281"/>
      <c r="I42" s="1281"/>
      <c r="J42" s="1281"/>
      <c r="K42" s="1281"/>
      <c r="L42" s="1282"/>
      <c r="M42" s="1283"/>
      <c r="N42" s="1283"/>
      <c r="O42" s="1283"/>
      <c r="P42" s="1399"/>
      <c r="Q42" s="273"/>
      <c r="R42" s="274"/>
      <c r="S42" s="1405" t="str">
        <f>INDEX(PT_DIFFERENTIATION_NUM_TER,MATCH(B42,PT_DIFFERENTIATION_TER_ID,0))</f>
        <v>.</v>
      </c>
      <c r="T42" s="224" t="s">
        <v>460</v>
      </c>
      <c r="U42" s="214"/>
      <c r="V42" s="2070"/>
      <c r="W42" s="2071"/>
      <c r="X42" s="2071"/>
      <c r="Y42" s="2071"/>
      <c r="Z42" s="2071"/>
      <c r="AA42" s="2071"/>
      <c r="AB42" s="2072"/>
      <c r="AC42" s="2070" t="str">
        <f>INDEX(PT_DIFFERENTIATION_TER,MATCH(B42,PT_DIFFERENTIATION_TER_ID,0))</f>
        <v/>
      </c>
      <c r="AD42" s="2071"/>
      <c r="AE42" s="2071"/>
      <c r="AF42" s="2071"/>
      <c r="AG42" s="2071"/>
      <c r="AH42" s="2071"/>
      <c r="AI42" s="2071"/>
      <c r="AJ42" s="2072"/>
      <c r="AK42" s="1179" t="s">
        <v>461</v>
      </c>
      <c r="AM42" s="426"/>
      <c r="AN42" s="426" t="str">
        <f t="shared" si="1"/>
        <v>Территория действия тарифа</v>
      </c>
      <c r="AO42" s="426"/>
      <c r="AP42" s="426"/>
    </row>
    <row r="43" spans="1:42" ht="23.25" customHeight="1">
      <c r="A43" s="1281" t="s">
        <v>242</v>
      </c>
      <c r="B43" s="1281" t="s">
        <v>243</v>
      </c>
      <c r="C43" s="1281" t="s">
        <v>244</v>
      </c>
      <c r="D43" s="1281"/>
      <c r="E43" s="2077"/>
      <c r="F43" s="2077"/>
      <c r="G43" s="2076">
        <v>1</v>
      </c>
      <c r="H43" s="1281"/>
      <c r="I43" s="1281"/>
      <c r="J43" s="1281"/>
      <c r="K43" s="1281"/>
      <c r="L43" s="1282"/>
      <c r="M43" s="1283"/>
      <c r="N43" s="1283"/>
      <c r="O43" s="1283"/>
      <c r="P43" s="275"/>
      <c r="Q43" s="273"/>
      <c r="R43" s="274"/>
      <c r="S43" s="1405" t="str">
        <f>INDEX(PT_DIFFERENTIATION_NUM_CS,MATCH(C43,PT_DIFFERENTIATION_CS_ID,0))</f>
        <v>..</v>
      </c>
      <c r="T43" s="225" t="s">
        <v>2052</v>
      </c>
      <c r="U43" s="214"/>
      <c r="V43" s="2070"/>
      <c r="W43" s="2071"/>
      <c r="X43" s="2071"/>
      <c r="Y43" s="2071"/>
      <c r="Z43" s="2071"/>
      <c r="AA43" s="2071"/>
      <c r="AB43" s="2072"/>
      <c r="AC43" s="2070" t="str">
        <f>INDEX(PT_DIFFERENTIATION_CS,MATCH(C43,PT_DIFFERENTIATION_CS_ID,0))</f>
        <v/>
      </c>
      <c r="AD43" s="2071"/>
      <c r="AE43" s="2071"/>
      <c r="AF43" s="2071"/>
      <c r="AG43" s="2071"/>
      <c r="AH43" s="2071"/>
      <c r="AI43" s="2071"/>
      <c r="AJ43" s="2072"/>
      <c r="AK43" s="1179" t="s">
        <v>2053</v>
      </c>
      <c r="AM43" s="426"/>
      <c r="AN43" s="426" t="str">
        <f t="shared" si="1"/>
        <v>Наименование централизованной системы горячего водоснабжения</v>
      </c>
      <c r="AO43" s="426"/>
      <c r="AP43" s="426"/>
    </row>
    <row r="44" spans="1:42" ht="23.25" customHeight="1">
      <c r="A44" s="1281" t="s">
        <v>242</v>
      </c>
      <c r="B44" s="1281" t="s">
        <v>243</v>
      </c>
      <c r="C44" s="1281" t="s">
        <v>244</v>
      </c>
      <c r="D44" s="1281" t="s">
        <v>2059</v>
      </c>
      <c r="E44" s="2077"/>
      <c r="F44" s="2077"/>
      <c r="G44" s="2077"/>
      <c r="H44" s="2077"/>
      <c r="I44" s="2078" t="str">
        <f>S43&amp;".1"</f>
        <v>...1</v>
      </c>
      <c r="J44" s="1281"/>
      <c r="K44" s="1281"/>
      <c r="L44" s="1282"/>
      <c r="P44" s="1995">
        <v>1</v>
      </c>
      <c r="Q44" s="1393"/>
      <c r="R44" s="277"/>
      <c r="S44" s="1405" t="str">
        <f>$I44</f>
        <v>...1</v>
      </c>
      <c r="T44" s="200" t="s">
        <v>1678</v>
      </c>
      <c r="U44" s="214"/>
      <c r="V44" s="2176"/>
      <c r="W44" s="2177"/>
      <c r="X44" s="2177"/>
      <c r="Y44" s="2177"/>
      <c r="Z44" s="2177"/>
      <c r="AA44" s="2177"/>
      <c r="AB44" s="2178"/>
      <c r="AC44" s="2179"/>
      <c r="AD44" s="2180"/>
      <c r="AE44" s="2180"/>
      <c r="AF44" s="2180"/>
      <c r="AG44" s="2180"/>
      <c r="AH44" s="2180"/>
      <c r="AI44" s="2180"/>
      <c r="AJ44" s="2181"/>
      <c r="AK44" s="1179" t="s">
        <v>1679</v>
      </c>
      <c r="AM44" s="426"/>
      <c r="AN44" s="426" t="str">
        <f t="shared" si="1"/>
        <v>Наименование признака дифференциации</v>
      </c>
      <c r="AO44" s="426"/>
      <c r="AP44" s="426"/>
    </row>
    <row r="45" spans="1:42" ht="23.25" customHeight="1">
      <c r="A45" s="1281" t="s">
        <v>242</v>
      </c>
      <c r="B45" s="1281" t="s">
        <v>243</v>
      </c>
      <c r="C45" s="1281" t="s">
        <v>244</v>
      </c>
      <c r="D45" s="1281" t="s">
        <v>2059</v>
      </c>
      <c r="E45" s="2077"/>
      <c r="F45" s="2077"/>
      <c r="G45" s="2077"/>
      <c r="H45" s="2077"/>
      <c r="I45" s="2079"/>
      <c r="J45" s="2078" t="str">
        <f>I44&amp;".1"</f>
        <v>...1.1</v>
      </c>
      <c r="K45" s="1281"/>
      <c r="L45" s="1282" t="s">
        <v>469</v>
      </c>
      <c r="P45" s="1995"/>
      <c r="Q45" s="1995">
        <v>1</v>
      </c>
      <c r="R45" s="278"/>
      <c r="S45" s="1405" t="str">
        <f>$J45</f>
        <v>...1.1</v>
      </c>
      <c r="T45" s="201" t="s">
        <v>470</v>
      </c>
      <c r="U45" s="214"/>
      <c r="V45" s="2064"/>
      <c r="W45" s="2065"/>
      <c r="X45" s="2065"/>
      <c r="Y45" s="2065"/>
      <c r="Z45" s="2065"/>
      <c r="AA45" s="2065"/>
      <c r="AB45" s="2066"/>
      <c r="AC45" s="2064"/>
      <c r="AD45" s="2065"/>
      <c r="AE45" s="2065"/>
      <c r="AF45" s="2065"/>
      <c r="AG45" s="2065"/>
      <c r="AH45" s="2065"/>
      <c r="AI45" s="2065"/>
      <c r="AJ45" s="2066"/>
      <c r="AK45" s="1228" t="s">
        <v>1680</v>
      </c>
      <c r="AM45" s="426"/>
      <c r="AN45" s="426" t="str">
        <f t="shared" si="1"/>
        <v>Группа потребителей</v>
      </c>
      <c r="AO45" s="426"/>
      <c r="AP45" s="426"/>
    </row>
    <row r="46" spans="1:42" ht="23.25" customHeight="1">
      <c r="A46" s="1281" t="s">
        <v>242</v>
      </c>
      <c r="B46" s="1281" t="s">
        <v>243</v>
      </c>
      <c r="C46" s="1281" t="s">
        <v>244</v>
      </c>
      <c r="D46" s="1281" t="s">
        <v>2059</v>
      </c>
      <c r="E46" s="2077"/>
      <c r="F46" s="2077"/>
      <c r="G46" s="2077"/>
      <c r="H46" s="2077"/>
      <c r="I46" s="2079"/>
      <c r="J46" s="2079"/>
      <c r="K46" s="2078" t="str">
        <f>J45&amp;".1"</f>
        <v>...1.1.1</v>
      </c>
      <c r="L46" s="1282"/>
      <c r="P46" s="1995"/>
      <c r="Q46" s="1995"/>
      <c r="R46" s="278">
        <v>1</v>
      </c>
      <c r="S46" s="1405" t="str">
        <f>$K46</f>
        <v>...1.1.1</v>
      </c>
      <c r="T46" s="1354"/>
      <c r="U46" s="214"/>
      <c r="V46" s="1278"/>
      <c r="W46" s="1278"/>
      <c r="X46" s="1279"/>
      <c r="Y46" s="2074"/>
      <c r="Z46" s="2073" t="s">
        <v>59</v>
      </c>
      <c r="AA46" s="2074"/>
      <c r="AB46" s="2073" t="s">
        <v>59</v>
      </c>
      <c r="AC46" s="664"/>
      <c r="AD46" s="664"/>
      <c r="AE46" s="1178"/>
      <c r="AF46" s="2080"/>
      <c r="AG46" s="1885" t="s">
        <v>59</v>
      </c>
      <c r="AH46" s="2082"/>
      <c r="AI46" s="1885" t="s">
        <v>57</v>
      </c>
      <c r="AJ46" s="1355"/>
      <c r="AK46" s="2182"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437" t="e">
        <f ca="1">STRCHECKDATE(V47:AJ47)</f>
        <v>#NAME?</v>
      </c>
      <c r="AM46" s="426"/>
      <c r="AN46" s="426" t="str">
        <f t="shared" si="1"/>
        <v/>
      </c>
      <c r="AO46" s="426"/>
      <c r="AP46" s="426"/>
    </row>
    <row r="47" spans="1:42" ht="0" hidden="1" customHeight="1">
      <c r="A47" s="1281" t="s">
        <v>242</v>
      </c>
      <c r="B47" s="1281" t="s">
        <v>243</v>
      </c>
      <c r="C47" s="1281" t="s">
        <v>244</v>
      </c>
      <c r="D47" s="1281" t="s">
        <v>2059</v>
      </c>
      <c r="E47" s="2077"/>
      <c r="F47" s="2077"/>
      <c r="G47" s="2077"/>
      <c r="H47" s="2077"/>
      <c r="I47" s="2079"/>
      <c r="J47" s="2079"/>
      <c r="K47" s="2078"/>
      <c r="L47" s="1282"/>
      <c r="P47" s="1995"/>
      <c r="Q47" s="1995"/>
      <c r="R47" s="278"/>
      <c r="S47" s="1402"/>
      <c r="T47" s="214"/>
      <c r="U47" s="214"/>
      <c r="V47" s="1278"/>
      <c r="W47" s="1278"/>
      <c r="X47" s="250" t="str">
        <f>Y46&amp;"-"&amp;AA46</f>
        <v>-</v>
      </c>
      <c r="Y47" s="2073"/>
      <c r="Z47" s="2073"/>
      <c r="AA47" s="2073"/>
      <c r="AB47" s="2073"/>
      <c r="AC47" s="246"/>
      <c r="AD47" s="246"/>
      <c r="AE47" s="250" t="str">
        <f>AF46&amp;"-"&amp;AH46</f>
        <v>-</v>
      </c>
      <c r="AF47" s="2081"/>
      <c r="AG47" s="1885"/>
      <c r="AH47" s="2083"/>
      <c r="AI47" s="1885"/>
      <c r="AJ47" s="1356"/>
      <c r="AK47" s="2182"/>
      <c r="AM47" s="426"/>
      <c r="AN47" s="426" t="str">
        <f t="shared" si="1"/>
        <v/>
      </c>
      <c r="AO47" s="426"/>
      <c r="AP47" s="426"/>
    </row>
    <row r="48" spans="1:42" ht="21" customHeight="1">
      <c r="A48" s="1281" t="s">
        <v>242</v>
      </c>
      <c r="B48" s="1281" t="s">
        <v>243</v>
      </c>
      <c r="C48" s="1281" t="s">
        <v>244</v>
      </c>
      <c r="D48" s="1281" t="s">
        <v>2059</v>
      </c>
      <c r="E48" s="2077"/>
      <c r="F48" s="2077"/>
      <c r="G48" s="2077"/>
      <c r="H48" s="2077"/>
      <c r="I48" s="2079"/>
      <c r="J48" s="2078"/>
      <c r="K48" s="1281"/>
      <c r="L48" s="1282"/>
      <c r="P48" s="1995"/>
      <c r="Q48" s="1995"/>
      <c r="R48" s="277"/>
      <c r="S48" s="1200"/>
      <c r="T48" s="202" t="s">
        <v>1681</v>
      </c>
      <c r="U48" s="291"/>
      <c r="V48" s="291"/>
      <c r="W48" s="291"/>
      <c r="X48" s="291"/>
      <c r="Y48" s="291"/>
      <c r="Z48" s="291"/>
      <c r="AA48" s="291"/>
      <c r="AB48" s="291"/>
      <c r="AC48" s="291"/>
      <c r="AD48" s="291"/>
      <c r="AE48" s="291"/>
      <c r="AF48" s="291"/>
      <c r="AG48" s="291"/>
      <c r="AH48" s="291"/>
      <c r="AI48" s="291"/>
      <c r="AJ48" s="291"/>
      <c r="AK48" s="1179" t="s">
        <v>1682</v>
      </c>
      <c r="AM48" s="426"/>
      <c r="AN48" s="426" t="str">
        <f t="shared" si="1"/>
        <v>Добавить значение признака дифференциации</v>
      </c>
      <c r="AO48" s="426"/>
      <c r="AP48" s="426"/>
    </row>
    <row r="49" spans="1:42" ht="21" customHeight="1">
      <c r="A49" s="1281" t="s">
        <v>242</v>
      </c>
      <c r="B49" s="1281" t="s">
        <v>243</v>
      </c>
      <c r="C49" s="1281" t="s">
        <v>244</v>
      </c>
      <c r="D49" s="1281" t="s">
        <v>2059</v>
      </c>
      <c r="E49" s="2077"/>
      <c r="F49" s="2077"/>
      <c r="G49" s="2077"/>
      <c r="H49" s="2077"/>
      <c r="I49" s="2078"/>
      <c r="J49" s="1281"/>
      <c r="K49" s="1281"/>
      <c r="L49" s="1282"/>
      <c r="P49" s="1995"/>
      <c r="Q49" s="1393"/>
      <c r="R49" s="277"/>
      <c r="S49" s="1200"/>
      <c r="T49" s="288" t="s">
        <v>475</v>
      </c>
      <c r="U49" s="291"/>
      <c r="V49" s="291"/>
      <c r="W49" s="291"/>
      <c r="X49" s="291"/>
      <c r="Y49" s="291"/>
      <c r="Z49" s="291"/>
      <c r="AA49" s="291"/>
      <c r="AB49" s="290"/>
      <c r="AC49" s="291"/>
      <c r="AD49" s="291"/>
      <c r="AE49" s="291"/>
      <c r="AF49" s="291"/>
      <c r="AG49" s="291"/>
      <c r="AH49" s="291"/>
      <c r="AI49" s="290"/>
      <c r="AJ49" s="291"/>
      <c r="AK49" s="1357"/>
      <c r="AM49" s="426"/>
      <c r="AN49" s="426" t="str">
        <f t="shared" si="1"/>
        <v>Добавить группу потребителей</v>
      </c>
      <c r="AO49" s="426"/>
      <c r="AP49" s="426"/>
    </row>
    <row r="50" spans="1:42" ht="21" customHeight="1">
      <c r="A50" s="1281" t="s">
        <v>242</v>
      </c>
      <c r="B50" s="1281" t="s">
        <v>243</v>
      </c>
      <c r="C50" s="1281" t="s">
        <v>244</v>
      </c>
      <c r="D50" s="1281" t="s">
        <v>2059</v>
      </c>
      <c r="E50" s="2077"/>
      <c r="F50" s="2077"/>
      <c r="G50" s="2077"/>
      <c r="H50" s="2076"/>
      <c r="I50" s="1281"/>
      <c r="J50" s="1281"/>
      <c r="K50" s="1281"/>
      <c r="L50" s="1282"/>
      <c r="M50" s="1283"/>
      <c r="N50" s="1283"/>
      <c r="O50" s="462"/>
      <c r="P50" s="281"/>
      <c r="Q50" s="299"/>
      <c r="R50" s="276"/>
      <c r="S50" s="1200"/>
      <c r="T50" s="296" t="s">
        <v>1683</v>
      </c>
      <c r="U50" s="291"/>
      <c r="V50" s="291"/>
      <c r="W50" s="291"/>
      <c r="X50" s="291"/>
      <c r="Y50" s="291"/>
      <c r="Z50" s="291"/>
      <c r="AA50" s="291"/>
      <c r="AB50" s="290"/>
      <c r="AC50" s="291"/>
      <c r="AD50" s="291"/>
      <c r="AE50" s="291"/>
      <c r="AF50" s="291"/>
      <c r="AG50" s="291"/>
      <c r="AH50" s="291"/>
      <c r="AI50" s="290"/>
      <c r="AJ50" s="291"/>
      <c r="AK50" s="217"/>
      <c r="AM50" s="426"/>
      <c r="AN50" s="426" t="str">
        <f t="shared" si="1"/>
        <v>Добавить наименование признака дифференциации</v>
      </c>
      <c r="AO50" s="426"/>
      <c r="AP50" s="426"/>
    </row>
    <row r="51" spans="1:42" s="1559" customFormat="1" ht="0" hidden="1" customHeight="1">
      <c r="A51" s="1262" t="s">
        <v>242</v>
      </c>
      <c r="B51" s="1262" t="s">
        <v>243</v>
      </c>
      <c r="C51" s="1234"/>
      <c r="D51" s="1234"/>
      <c r="E51" s="2077"/>
      <c r="F51" s="2076"/>
      <c r="G51" s="1234"/>
      <c r="H51" s="1234"/>
      <c r="I51" s="1234"/>
      <c r="J51" s="1234"/>
      <c r="K51" s="1234"/>
      <c r="L51" s="1406"/>
      <c r="M51" s="1241"/>
      <c r="N51" s="1241"/>
      <c r="P51" s="1236"/>
      <c r="Q51" s="1237"/>
      <c r="R51" s="1236"/>
      <c r="S51" s="1242"/>
      <c r="T51" s="1245" t="s">
        <v>434</v>
      </c>
      <c r="U51" s="1244"/>
      <c r="V51" s="1244"/>
      <c r="W51" s="1244"/>
      <c r="X51" s="1244"/>
      <c r="Y51" s="1244"/>
      <c r="Z51" s="1244"/>
      <c r="AA51" s="1244"/>
      <c r="AB51" s="1244"/>
      <c r="AC51" s="1244"/>
      <c r="AD51" s="1244"/>
      <c r="AE51" s="1244"/>
      <c r="AF51" s="1244"/>
      <c r="AG51" s="1244"/>
      <c r="AH51" s="1244"/>
      <c r="AI51" s="1244"/>
      <c r="AJ51" s="1244"/>
      <c r="AK51" s="1244"/>
      <c r="AM51" s="702"/>
      <c r="AN51" s="702" t="str">
        <f t="shared" si="1"/>
        <v>Добавить централизованную систему для дифференциации</v>
      </c>
      <c r="AO51" s="702"/>
      <c r="AP51" s="702"/>
    </row>
    <row r="52" spans="1:42" s="1559" customFormat="1" ht="0" hidden="1" customHeight="1">
      <c r="A52" s="1262" t="s">
        <v>242</v>
      </c>
      <c r="B52" s="1262"/>
      <c r="C52" s="1262"/>
      <c r="D52" s="1262"/>
      <c r="E52" s="2076"/>
      <c r="F52" s="1262"/>
      <c r="G52" s="1262"/>
      <c r="H52" s="1262"/>
      <c r="I52" s="1262"/>
      <c r="J52" s="1262"/>
      <c r="K52" s="1262"/>
      <c r="L52" s="1265"/>
      <c r="M52" s="1241"/>
      <c r="N52" s="1241"/>
      <c r="O52" s="444"/>
      <c r="P52" s="308"/>
      <c r="Q52" s="1263"/>
      <c r="R52" s="308"/>
      <c r="S52" s="1242"/>
      <c r="T52" s="1245" t="s">
        <v>435</v>
      </c>
      <c r="U52" s="1244"/>
      <c r="V52" s="1244"/>
      <c r="W52" s="1244"/>
      <c r="X52" s="1244"/>
      <c r="Y52" s="1244"/>
      <c r="Z52" s="1244"/>
      <c r="AA52" s="1244"/>
      <c r="AB52" s="1244"/>
      <c r="AC52" s="1244"/>
      <c r="AD52" s="1244"/>
      <c r="AE52" s="1244"/>
      <c r="AF52" s="1244"/>
      <c r="AG52" s="1244"/>
      <c r="AH52" s="1244"/>
      <c r="AI52" s="1244"/>
      <c r="AJ52" s="1244"/>
      <c r="AK52" s="1244"/>
      <c r="AM52" s="426"/>
      <c r="AN52" s="426" t="str">
        <f t="shared" si="1"/>
        <v>Добавить территорию для дифференциации</v>
      </c>
      <c r="AO52" s="426"/>
      <c r="AP52" s="426"/>
    </row>
    <row r="53" spans="1:42" s="1559" customFormat="1" ht="0" hidden="1" customHeight="1">
      <c r="A53" s="1234"/>
      <c r="B53" s="1234"/>
      <c r="C53" s="1234"/>
      <c r="D53" s="1234"/>
      <c r="E53" s="1262"/>
      <c r="F53" s="1234"/>
      <c r="G53" s="1234"/>
      <c r="H53" s="1234"/>
      <c r="I53" s="1234"/>
      <c r="J53" s="1234"/>
      <c r="K53" s="1234"/>
      <c r="L53" s="1406"/>
      <c r="M53" s="1241"/>
      <c r="N53" s="1241"/>
      <c r="P53" s="1236"/>
      <c r="Q53" s="1237"/>
      <c r="R53" s="1236"/>
      <c r="S53" s="1242"/>
      <c r="T53" s="1245" t="s">
        <v>436</v>
      </c>
      <c r="U53" s="1244"/>
      <c r="V53" s="1244"/>
      <c r="W53" s="1244"/>
      <c r="X53" s="1244"/>
      <c r="Y53" s="1244"/>
      <c r="Z53" s="1244"/>
      <c r="AA53" s="1244"/>
      <c r="AB53" s="1244"/>
      <c r="AC53" s="1244"/>
      <c r="AD53" s="1244"/>
      <c r="AE53" s="1244"/>
      <c r="AF53" s="1244"/>
      <c r="AG53" s="1244"/>
      <c r="AH53" s="1244"/>
      <c r="AI53" s="1244"/>
      <c r="AJ53" s="1244"/>
      <c r="AK53" s="1244"/>
      <c r="AM53" s="702"/>
      <c r="AN53" s="702" t="str">
        <f t="shared" si="1"/>
        <v>Добавить наименование тарифа</v>
      </c>
      <c r="AO53" s="702"/>
      <c r="AP53" s="702"/>
    </row>
    <row r="54" spans="1:42" ht="11.25" hidden="1" customHeight="1">
      <c r="M54" s="1062"/>
      <c r="N54" s="1062"/>
      <c r="O54" s="462"/>
      <c r="P54" s="1057"/>
      <c r="Q54" s="1057"/>
      <c r="R54" s="1057"/>
      <c r="S54" s="1057"/>
      <c r="AL54" s="1057"/>
      <c r="AM54" s="1057"/>
      <c r="AN54" s="1057"/>
      <c r="AO54" s="1057"/>
      <c r="AP54" s="1057"/>
    </row>
    <row r="55" spans="1:42" ht="14.25" hidden="1" customHeight="1">
      <c r="O55" s="462"/>
      <c r="S55" s="1166" t="s">
        <v>508</v>
      </c>
      <c r="T55" s="2075" t="s">
        <v>2060</v>
      </c>
      <c r="U55" s="2075"/>
      <c r="V55" s="2075"/>
      <c r="W55" s="2075"/>
      <c r="X55" s="2075"/>
      <c r="Y55" s="2075"/>
      <c r="Z55" s="2075"/>
      <c r="AA55" s="2075"/>
      <c r="AB55" s="2075"/>
      <c r="AC55" s="2075"/>
      <c r="AD55" s="2075"/>
      <c r="AE55" s="2075"/>
      <c r="AF55" s="2075"/>
      <c r="AG55" s="2075"/>
      <c r="AH55" s="2075"/>
      <c r="AI55" s="2075"/>
      <c r="AJ55" s="2075"/>
      <c r="AK55" s="2075"/>
    </row>
    <row r="56" spans="1:42" ht="14.25" hidden="1" customHeight="1">
      <c r="O56" s="462"/>
    </row>
    <row r="57" spans="1:42" ht="14.25" hidden="1" customHeight="1">
      <c r="O57" s="462"/>
      <c r="S57" s="1166" t="s">
        <v>508</v>
      </c>
      <c r="T57" s="2075" t="s">
        <v>2061</v>
      </c>
      <c r="U57" s="2075"/>
      <c r="V57" s="2075"/>
      <c r="W57" s="2075"/>
      <c r="X57" s="2075"/>
      <c r="Y57" s="2075"/>
      <c r="Z57" s="2075"/>
      <c r="AA57" s="2075"/>
      <c r="AB57" s="2075"/>
      <c r="AC57" s="2075"/>
      <c r="AD57" s="2075"/>
      <c r="AE57" s="2075"/>
      <c r="AF57" s="2075"/>
      <c r="AG57" s="2075"/>
      <c r="AH57" s="2075"/>
      <c r="AI57" s="2075"/>
      <c r="AJ57" s="2075"/>
      <c r="AK57" s="2075"/>
    </row>
  </sheetData>
  <sheetProtection formatColumns="0" formatRows="0" insertRows="0" deleteColumns="0" deleteRows="0" sort="0" autoFilter="0"/>
  <mergeCells count="101">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 ref="AK7:AK8"/>
    <mergeCell ref="AF15:AF16"/>
    <mergeCell ref="AG15:AG16"/>
    <mergeCell ref="AH15:AH16"/>
    <mergeCell ref="AI15:AI16"/>
    <mergeCell ref="Z7:Z8"/>
    <mergeCell ref="AA7:AA8"/>
    <mergeCell ref="AB7:AB8"/>
    <mergeCell ref="AF7:AF8"/>
    <mergeCell ref="AG7:AG8"/>
    <mergeCell ref="AH7:AH8"/>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46:AK47"/>
    <mergeCell ref="T55:AK55"/>
    <mergeCell ref="T57:AK57"/>
    <mergeCell ref="K46:K47"/>
    <mergeCell ref="Y46:Y47"/>
    <mergeCell ref="Z46:Z47"/>
    <mergeCell ref="AA46:AA47"/>
    <mergeCell ref="AB46:AB47"/>
    <mergeCell ref="AF46:AF47"/>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BH68"/>
  <sheetViews>
    <sheetView showGridLines="0" topLeftCell="R27" zoomScale="90" workbookViewId="0"/>
  </sheetViews>
  <sheetFormatPr defaultColWidth="10.5703125" defaultRowHeight="14.25" customHeight="1"/>
  <cols>
    <col min="1" max="1" width="11.5703125" style="1284" hidden="1" customWidth="1"/>
    <col min="2" max="2" width="11" style="1284" hidden="1" customWidth="1"/>
    <col min="3" max="3" width="10.5703125" style="1284" hidden="1"/>
    <col min="4" max="4" width="12.85546875" style="1284" hidden="1" customWidth="1"/>
    <col min="5" max="5" width="10" style="1284" hidden="1" customWidth="1"/>
    <col min="6" max="6" width="8.7109375" style="1284" hidden="1" customWidth="1"/>
    <col min="7" max="7" width="7.5703125" style="1284" hidden="1" customWidth="1"/>
    <col min="8" max="8" width="11.42578125" style="1284" hidden="1" customWidth="1"/>
    <col min="9" max="9" width="12" style="1284" hidden="1" customWidth="1"/>
    <col min="10" max="10" width="9.85546875" style="1284" hidden="1" customWidth="1"/>
    <col min="11" max="11" width="11.42578125" style="1284" hidden="1" customWidth="1"/>
    <col min="12" max="12" width="19.140625" style="1799" hidden="1" customWidth="1"/>
    <col min="13" max="14" width="12.28515625" style="1696" hidden="1" customWidth="1"/>
    <col min="15" max="15" width="23.42578125" style="1696" hidden="1" customWidth="1"/>
    <col min="16" max="16" width="3.7109375" style="1696" hidden="1" customWidth="1"/>
    <col min="17" max="17" width="3.7109375" style="1289" hidden="1" customWidth="1"/>
    <col min="18" max="18" width="3.7109375" style="265" customWidth="1"/>
    <col min="19" max="19" width="12.7109375" style="1806" customWidth="1"/>
    <col min="20" max="20" width="32" style="1552" customWidth="1"/>
    <col min="21" max="21" width="0.140625" style="1552" customWidth="1"/>
    <col min="22" max="25" width="21.7109375" style="1552" hidden="1" customWidth="1"/>
    <col min="26" max="26" width="11.7109375" style="1552" hidden="1" customWidth="1"/>
    <col min="27" max="27" width="3.7109375" style="1552" hidden="1" customWidth="1"/>
    <col min="28" max="28" width="11.7109375" style="1552" hidden="1" customWidth="1"/>
    <col min="29" max="29" width="8.5703125" style="1552" hidden="1" customWidth="1"/>
    <col min="30" max="32" width="3.7109375" style="1552" customWidth="1"/>
    <col min="33" max="33" width="24.7109375" style="1552" customWidth="1"/>
    <col min="34" max="36" width="3.7109375" style="1552" customWidth="1"/>
    <col min="37" max="37" width="24.7109375" style="1552" customWidth="1"/>
    <col min="38" max="40" width="3.7109375" style="1552" customWidth="1"/>
    <col min="41" max="41" width="18.85546875" style="1552" customWidth="1"/>
    <col min="42" max="44" width="3.7109375" style="1552" customWidth="1"/>
    <col min="45" max="45" width="18.85546875" style="1552" customWidth="1"/>
    <col min="46" max="49" width="21.7109375" style="1552" customWidth="1"/>
    <col min="50" max="50" width="11.7109375" style="1552" customWidth="1"/>
    <col min="51" max="51" width="3.7109375" style="1552" customWidth="1"/>
    <col min="52" max="52" width="11.7109375" style="1552" customWidth="1"/>
    <col min="53" max="53" width="8.5703125" style="1552" hidden="1" customWidth="1"/>
    <col min="54" max="54" width="4.7109375" style="1552" customWidth="1"/>
    <col min="55" max="55" width="115.7109375" style="1552" customWidth="1"/>
    <col min="56" max="57" width="10.5703125" style="1559"/>
    <col min="58" max="58" width="11.140625" style="1559" customWidth="1"/>
    <col min="59" max="60" width="10.5703125" style="1559"/>
  </cols>
  <sheetData>
    <row r="1" spans="1:60" ht="14.25" hidden="1" customHeight="1">
      <c r="W1" s="249"/>
      <c r="Y1" s="249"/>
      <c r="Z1" s="249"/>
      <c r="AW1" s="249"/>
      <c r="AX1" s="249"/>
    </row>
    <row r="2" spans="1:60" ht="21" hidden="1" customHeight="1">
      <c r="A2" s="1281"/>
      <c r="B2" s="1281"/>
      <c r="C2" s="1281"/>
      <c r="D2" s="1281"/>
      <c r="E2" s="2076">
        <v>1</v>
      </c>
      <c r="F2" s="1281"/>
      <c r="G2" s="1281"/>
      <c r="H2" s="1281"/>
      <c r="I2" s="1281"/>
      <c r="J2" s="1281"/>
      <c r="K2" s="1281"/>
      <c r="L2" s="1282"/>
      <c r="M2" s="1283"/>
      <c r="N2" s="1283"/>
      <c r="O2" s="1283"/>
      <c r="P2" s="1327"/>
      <c r="Q2" s="786"/>
      <c r="R2" s="276"/>
      <c r="S2" s="1405" t="e">
        <f>INDEX(PT_DIFFERENTIATION_NUM_NTAR,MATCH(A2,PT_DIFFERENTIATION_NTAR_ID,0))</f>
        <v>#N/A</v>
      </c>
      <c r="T2" s="212" t="s">
        <v>128</v>
      </c>
      <c r="U2" s="214"/>
      <c r="V2" s="2071"/>
      <c r="W2" s="2071"/>
      <c r="X2" s="2071"/>
      <c r="Y2" s="2071"/>
      <c r="Z2" s="2071"/>
      <c r="AA2" s="2071"/>
      <c r="AB2" s="2071"/>
      <c r="AC2" s="2072"/>
      <c r="AD2" s="2070" t="e">
        <f>INDEX(PT_DIFFERENTIATION_NTAR,MATCH(A2,PT_DIFFERENTIATION_NTAR_ID,0))</f>
        <v>#N/A</v>
      </c>
      <c r="AE2" s="2071"/>
      <c r="AF2" s="2071"/>
      <c r="AG2" s="2071"/>
      <c r="AH2" s="2071"/>
      <c r="AI2" s="2071"/>
      <c r="AJ2" s="2071"/>
      <c r="AK2" s="2071"/>
      <c r="AL2" s="2071"/>
      <c r="AM2" s="2071"/>
      <c r="AN2" s="2071"/>
      <c r="AO2" s="2071"/>
      <c r="AP2" s="2071"/>
      <c r="AQ2" s="2071"/>
      <c r="AR2" s="2071"/>
      <c r="AS2" s="2071"/>
      <c r="AT2" s="2071"/>
      <c r="AU2" s="2071"/>
      <c r="AV2" s="2071"/>
      <c r="AW2" s="2071"/>
      <c r="AX2" s="2071"/>
      <c r="AY2" s="2071"/>
      <c r="AZ2" s="2071"/>
      <c r="BA2" s="2071"/>
      <c r="BB2" s="2072"/>
      <c r="BC2" s="117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426"/>
      <c r="BF2" s="426" t="str">
        <f t="shared" ref="BF2:BF8" si="0">IF(T2="","",T2)</f>
        <v>Наименование тарифа</v>
      </c>
      <c r="BG2" s="426"/>
      <c r="BH2" s="426"/>
    </row>
    <row r="3" spans="1:60" ht="21" hidden="1" customHeight="1">
      <c r="A3" s="1281"/>
      <c r="B3" s="1281"/>
      <c r="C3" s="1281"/>
      <c r="D3" s="1281"/>
      <c r="E3" s="2077"/>
      <c r="F3" s="2076">
        <v>1</v>
      </c>
      <c r="G3" s="1281"/>
      <c r="H3" s="1281"/>
      <c r="I3" s="1281"/>
      <c r="J3" s="1281"/>
      <c r="K3" s="1281"/>
      <c r="L3" s="1282"/>
      <c r="M3" s="1283"/>
      <c r="N3" s="1283"/>
      <c r="O3" s="1283"/>
      <c r="P3" s="1328"/>
      <c r="Q3" s="1329"/>
      <c r="R3" s="274"/>
      <c r="S3" s="1405" t="e">
        <f>INDEX(PT_DIFFERENTIATION_NUM_TER,MATCH(B3,PT_DIFFERENTIATION_TER_ID,0))</f>
        <v>#N/A</v>
      </c>
      <c r="T3" s="224" t="s">
        <v>460</v>
      </c>
      <c r="U3" s="214"/>
      <c r="V3" s="2071"/>
      <c r="W3" s="2071"/>
      <c r="X3" s="2071"/>
      <c r="Y3" s="2071"/>
      <c r="Z3" s="2071"/>
      <c r="AA3" s="2071"/>
      <c r="AB3" s="2071"/>
      <c r="AC3" s="2072"/>
      <c r="AD3" s="2070" t="e">
        <f>INDEX(PT_DIFFERENTIATION_TER,MATCH(B3,PT_DIFFERENTIATION_TER_ID,0))</f>
        <v>#N/A</v>
      </c>
      <c r="AE3" s="2071"/>
      <c r="AF3" s="2071"/>
      <c r="AG3" s="2071"/>
      <c r="AH3" s="2071"/>
      <c r="AI3" s="2071"/>
      <c r="AJ3" s="2071"/>
      <c r="AK3" s="2071"/>
      <c r="AL3" s="2071"/>
      <c r="AM3" s="2071"/>
      <c r="AN3" s="2071"/>
      <c r="AO3" s="2071"/>
      <c r="AP3" s="2071"/>
      <c r="AQ3" s="2071"/>
      <c r="AR3" s="2071"/>
      <c r="AS3" s="2071"/>
      <c r="AT3" s="2071"/>
      <c r="AU3" s="2071"/>
      <c r="AV3" s="2071"/>
      <c r="AW3" s="2071"/>
      <c r="AX3" s="2071"/>
      <c r="AY3" s="2071"/>
      <c r="AZ3" s="2071"/>
      <c r="BA3" s="2071"/>
      <c r="BB3" s="2072"/>
      <c r="BC3" s="1179" t="s">
        <v>461</v>
      </c>
      <c r="BE3" s="426"/>
      <c r="BF3" s="426" t="str">
        <f t="shared" si="0"/>
        <v>Территория действия тарифа</v>
      </c>
      <c r="BG3" s="426"/>
      <c r="BH3" s="426"/>
    </row>
    <row r="4" spans="1:60" ht="33.75" hidden="1" customHeight="1">
      <c r="A4" s="1281"/>
      <c r="B4" s="1281"/>
      <c r="C4" s="1281"/>
      <c r="D4" s="1281"/>
      <c r="E4" s="2077"/>
      <c r="F4" s="2077"/>
      <c r="G4" s="2076">
        <v>1</v>
      </c>
      <c r="H4" s="1281"/>
      <c r="I4" s="1281"/>
      <c r="J4" s="1281"/>
      <c r="K4" s="1281"/>
      <c r="L4" s="1282"/>
      <c r="M4" s="1283"/>
      <c r="N4" s="1283"/>
      <c r="O4" s="1283"/>
      <c r="P4" s="1330"/>
      <c r="Q4" s="1329"/>
      <c r="R4" s="274"/>
      <c r="S4" s="1405" t="e">
        <f>INDEX(PT_DIFFERENTIATION_NUM_CS,MATCH(C4,PT_DIFFERENTIATION_CS_ID,0))</f>
        <v>#N/A</v>
      </c>
      <c r="T4" s="225" t="s">
        <v>2052</v>
      </c>
      <c r="U4" s="214"/>
      <c r="V4" s="2071"/>
      <c r="W4" s="2071"/>
      <c r="X4" s="2071"/>
      <c r="Y4" s="2071"/>
      <c r="Z4" s="2071"/>
      <c r="AA4" s="2071"/>
      <c r="AB4" s="2071"/>
      <c r="AC4" s="2072"/>
      <c r="AD4" s="2070" t="e">
        <f>INDEX(PT_DIFFERENTIATION_CS,MATCH(C4,PT_DIFFERENTIATION_CS_ID,0))</f>
        <v>#N/A</v>
      </c>
      <c r="AE4" s="2071"/>
      <c r="AF4" s="2071"/>
      <c r="AG4" s="2071"/>
      <c r="AH4" s="2071"/>
      <c r="AI4" s="2071"/>
      <c r="AJ4" s="2071"/>
      <c r="AK4" s="2071"/>
      <c r="AL4" s="2071"/>
      <c r="AM4" s="2071"/>
      <c r="AN4" s="2071"/>
      <c r="AO4" s="2071"/>
      <c r="AP4" s="2071"/>
      <c r="AQ4" s="2071"/>
      <c r="AR4" s="2071"/>
      <c r="AS4" s="2071"/>
      <c r="AT4" s="2071"/>
      <c r="AU4" s="2071"/>
      <c r="AV4" s="2071"/>
      <c r="AW4" s="2071"/>
      <c r="AX4" s="2071"/>
      <c r="AY4" s="2071"/>
      <c r="AZ4" s="2071"/>
      <c r="BA4" s="2071"/>
      <c r="BB4" s="2072"/>
      <c r="BC4" s="1179" t="s">
        <v>2053</v>
      </c>
      <c r="BE4" s="426"/>
      <c r="BF4" s="426" t="str">
        <f t="shared" si="0"/>
        <v>Наименование централизованной системы горячего водоснабжения</v>
      </c>
      <c r="BG4" s="426"/>
      <c r="BH4" s="426"/>
    </row>
    <row r="5" spans="1:60" s="1559" customFormat="1" ht="14.25" hidden="1" customHeight="1">
      <c r="A5" s="1262"/>
      <c r="B5" s="1262"/>
      <c r="C5" s="1262"/>
      <c r="D5" s="1262"/>
      <c r="E5" s="2077"/>
      <c r="F5" s="2077"/>
      <c r="G5" s="2077"/>
      <c r="H5" s="2076">
        <v>1</v>
      </c>
      <c r="I5" s="1262"/>
      <c r="J5" s="1262"/>
      <c r="K5" s="1262"/>
      <c r="L5" s="1265"/>
      <c r="M5" s="1235"/>
      <c r="N5" s="1235"/>
      <c r="O5" s="1235"/>
      <c r="P5" s="1409"/>
      <c r="Q5" s="1410"/>
      <c r="R5" s="278"/>
      <c r="S5" s="950"/>
      <c r="T5" s="1411"/>
      <c r="U5" s="1302"/>
      <c r="V5" s="2106"/>
      <c r="W5" s="2106"/>
      <c r="X5" s="2106"/>
      <c r="Y5" s="2106"/>
      <c r="Z5" s="2106"/>
      <c r="AA5" s="2106"/>
      <c r="AB5" s="2106"/>
      <c r="AC5" s="2107"/>
      <c r="AD5" s="2105"/>
      <c r="AE5" s="2106"/>
      <c r="AF5" s="2106"/>
      <c r="AG5" s="2106"/>
      <c r="AH5" s="2106"/>
      <c r="AI5" s="2106"/>
      <c r="AJ5" s="2106"/>
      <c r="AK5" s="2106"/>
      <c r="AL5" s="2106"/>
      <c r="AM5" s="2106"/>
      <c r="AN5" s="2106"/>
      <c r="AO5" s="2106"/>
      <c r="AP5" s="2106"/>
      <c r="AQ5" s="2106"/>
      <c r="AR5" s="2106"/>
      <c r="AS5" s="2106"/>
      <c r="AT5" s="2106"/>
      <c r="AU5" s="2106"/>
      <c r="AV5" s="2106"/>
      <c r="AW5" s="2106"/>
      <c r="AX5" s="2106"/>
      <c r="AY5" s="2106"/>
      <c r="AZ5" s="2106"/>
      <c r="BA5" s="2106"/>
      <c r="BB5" s="2107"/>
      <c r="BC5" s="1303" t="s">
        <v>465</v>
      </c>
      <c r="BE5" s="426"/>
      <c r="BF5" s="426" t="str">
        <f t="shared" si="0"/>
        <v/>
      </c>
      <c r="BG5" s="426"/>
      <c r="BH5" s="426"/>
    </row>
    <row r="6" spans="1:60" s="1559" customFormat="1" ht="14.25" hidden="1" customHeight="1">
      <c r="A6" s="1262"/>
      <c r="B6" s="1262"/>
      <c r="C6" s="1262"/>
      <c r="D6" s="1262"/>
      <c r="E6" s="2077"/>
      <c r="F6" s="2077"/>
      <c r="G6" s="2077"/>
      <c r="H6" s="2077"/>
      <c r="I6" s="2078" t="str">
        <f>S5&amp;".1"</f>
        <v>.1</v>
      </c>
      <c r="J6" s="1262"/>
      <c r="K6" s="1262"/>
      <c r="L6" s="1265" t="s">
        <v>466</v>
      </c>
      <c r="M6" s="436"/>
      <c r="N6" s="436"/>
      <c r="O6" s="436"/>
      <c r="P6" s="1995">
        <v>1</v>
      </c>
      <c r="Q6" s="1393"/>
      <c r="R6" s="277"/>
      <c r="S6" s="950"/>
      <c r="T6" s="1301"/>
      <c r="U6" s="1302"/>
      <c r="V6" s="2106"/>
      <c r="W6" s="2106"/>
      <c r="X6" s="2106"/>
      <c r="Y6" s="2106"/>
      <c r="Z6" s="2106"/>
      <c r="AA6" s="2106"/>
      <c r="AB6" s="2106"/>
      <c r="AC6" s="2107"/>
      <c r="AD6" s="2105"/>
      <c r="AE6" s="2106"/>
      <c r="AF6" s="2106"/>
      <c r="AG6" s="2106"/>
      <c r="AH6" s="2106"/>
      <c r="AI6" s="2106"/>
      <c r="AJ6" s="2106"/>
      <c r="AK6" s="2106"/>
      <c r="AL6" s="2106"/>
      <c r="AM6" s="2106"/>
      <c r="AN6" s="2106"/>
      <c r="AO6" s="2106"/>
      <c r="AP6" s="2106"/>
      <c r="AQ6" s="2106"/>
      <c r="AR6" s="2106"/>
      <c r="AS6" s="2106"/>
      <c r="AT6" s="2106"/>
      <c r="AU6" s="2106"/>
      <c r="AV6" s="2106"/>
      <c r="AW6" s="2106"/>
      <c r="AX6" s="2106"/>
      <c r="AY6" s="2106"/>
      <c r="AZ6" s="2106"/>
      <c r="BA6" s="2106"/>
      <c r="BB6" s="2107"/>
      <c r="BC6" s="1303"/>
      <c r="BE6" s="426"/>
      <c r="BF6" s="426" t="str">
        <f t="shared" si="0"/>
        <v/>
      </c>
      <c r="BG6" s="426"/>
      <c r="BH6" s="426"/>
    </row>
    <row r="7" spans="1:60" s="1559" customFormat="1" ht="14.25" hidden="1" customHeight="1">
      <c r="A7" s="1262"/>
      <c r="B7" s="1262"/>
      <c r="C7" s="1262"/>
      <c r="D7" s="1262"/>
      <c r="E7" s="2077"/>
      <c r="F7" s="2077"/>
      <c r="G7" s="2077"/>
      <c r="H7" s="2077"/>
      <c r="I7" s="2079"/>
      <c r="J7" s="2078" t="str">
        <f>S5&amp;".1"</f>
        <v>.1</v>
      </c>
      <c r="K7" s="1262"/>
      <c r="L7" s="1265"/>
      <c r="M7" s="436"/>
      <c r="N7" s="436"/>
      <c r="O7" s="436"/>
      <c r="P7" s="1995"/>
      <c r="Q7" s="1995">
        <v>1</v>
      </c>
      <c r="R7" s="278"/>
      <c r="S7" s="950"/>
      <c r="T7" s="1317"/>
      <c r="U7" s="1302"/>
      <c r="V7" s="2106"/>
      <c r="W7" s="2106"/>
      <c r="X7" s="2106"/>
      <c r="Y7" s="2106"/>
      <c r="Z7" s="2106"/>
      <c r="AA7" s="2106"/>
      <c r="AB7" s="2106"/>
      <c r="AC7" s="2107"/>
      <c r="AD7" s="2105"/>
      <c r="AE7" s="2106"/>
      <c r="AF7" s="2106"/>
      <c r="AG7" s="2106"/>
      <c r="AH7" s="2106"/>
      <c r="AI7" s="2106"/>
      <c r="AJ7" s="2106"/>
      <c r="AK7" s="2106"/>
      <c r="AL7" s="2106"/>
      <c r="AM7" s="2106"/>
      <c r="AN7" s="2106"/>
      <c r="AO7" s="2106"/>
      <c r="AP7" s="2106"/>
      <c r="AQ7" s="2106"/>
      <c r="AR7" s="2106"/>
      <c r="AS7" s="2106"/>
      <c r="AT7" s="2106"/>
      <c r="AU7" s="2106"/>
      <c r="AV7" s="2106"/>
      <c r="AW7" s="2106"/>
      <c r="AX7" s="2106"/>
      <c r="AY7" s="2106"/>
      <c r="AZ7" s="2106"/>
      <c r="BA7" s="2106"/>
      <c r="BB7" s="2107"/>
      <c r="BC7" s="1303"/>
      <c r="BE7" s="426"/>
      <c r="BF7" s="426" t="str">
        <f t="shared" si="0"/>
        <v/>
      </c>
      <c r="BG7" s="426"/>
      <c r="BH7" s="426"/>
    </row>
    <row r="8" spans="1:60" ht="11.25" hidden="1" customHeight="1">
      <c r="A8" s="1281"/>
      <c r="B8" s="1281"/>
      <c r="C8" s="1281"/>
      <c r="D8" s="1281"/>
      <c r="E8" s="2077"/>
      <c r="F8" s="2077"/>
      <c r="G8" s="2077"/>
      <c r="H8" s="2077"/>
      <c r="I8" s="2079"/>
      <c r="J8" s="2079"/>
      <c r="K8" s="2078" t="e">
        <f>S4&amp;".1"</f>
        <v>#N/A</v>
      </c>
      <c r="L8" s="1282"/>
      <c r="P8" s="1995"/>
      <c r="Q8" s="1995"/>
      <c r="R8" s="2129">
        <v>1</v>
      </c>
      <c r="S8" s="2126" t="e">
        <f>$K8</f>
        <v>#N/A</v>
      </c>
      <c r="T8" s="2185"/>
      <c r="U8" s="214"/>
      <c r="V8" s="664"/>
      <c r="W8" s="1178"/>
      <c r="X8" s="664"/>
      <c r="Y8" s="1178"/>
      <c r="Z8" s="1650"/>
      <c r="AA8" s="1382" t="s">
        <v>59</v>
      </c>
      <c r="AB8" s="1650"/>
      <c r="AC8" s="1382" t="s">
        <v>59</v>
      </c>
      <c r="AD8" s="1941" t="s">
        <v>59</v>
      </c>
      <c r="AE8" s="2122"/>
      <c r="AF8" s="1954">
        <v>1</v>
      </c>
      <c r="AG8" s="2184"/>
      <c r="AH8" s="1885" t="s">
        <v>59</v>
      </c>
      <c r="AI8" s="2122"/>
      <c r="AJ8" s="1954">
        <v>1</v>
      </c>
      <c r="AK8" s="2183" t="s">
        <v>18</v>
      </c>
      <c r="AL8" s="1885" t="s">
        <v>59</v>
      </c>
      <c r="AM8" s="1929"/>
      <c r="AN8" s="1954">
        <v>1</v>
      </c>
      <c r="AO8" s="2188"/>
      <c r="AP8" s="2189" t="s">
        <v>59</v>
      </c>
      <c r="AQ8" s="227"/>
      <c r="AR8" s="1398">
        <v>1</v>
      </c>
      <c r="AS8" s="1404" t="s">
        <v>18</v>
      </c>
      <c r="AT8" s="664"/>
      <c r="AU8" s="1178"/>
      <c r="AV8" s="664"/>
      <c r="AW8" s="1178"/>
      <c r="AX8" s="1650"/>
      <c r="AY8" s="1382" t="s">
        <v>59</v>
      </c>
      <c r="AZ8" s="1650"/>
      <c r="BA8" s="1382" t="s">
        <v>59</v>
      </c>
      <c r="BB8" s="1267"/>
      <c r="BC8" s="2098" t="s">
        <v>1696</v>
      </c>
      <c r="BE8" s="426"/>
      <c r="BF8" s="426" t="str">
        <f t="shared" si="0"/>
        <v/>
      </c>
      <c r="BG8" s="426"/>
      <c r="BH8" s="426"/>
    </row>
    <row r="9" spans="1:60" ht="11.25" hidden="1" customHeight="1">
      <c r="A9" s="1281"/>
      <c r="B9" s="1281"/>
      <c r="C9" s="1281"/>
      <c r="D9" s="1281"/>
      <c r="E9" s="2077"/>
      <c r="F9" s="2077"/>
      <c r="G9" s="2077"/>
      <c r="H9" s="2077"/>
      <c r="I9" s="2079"/>
      <c r="J9" s="2079"/>
      <c r="K9" s="2078"/>
      <c r="L9" s="1282"/>
      <c r="P9" s="1995"/>
      <c r="Q9" s="1995"/>
      <c r="R9" s="2129"/>
      <c r="S9" s="2127"/>
      <c r="T9" s="2186"/>
      <c r="U9" s="214"/>
      <c r="V9" s="1311"/>
      <c r="W9" s="1408"/>
      <c r="X9" s="1311"/>
      <c r="Y9" s="1408"/>
      <c r="Z9" s="1311"/>
      <c r="AA9" s="1311"/>
      <c r="AB9" s="1311"/>
      <c r="AC9" s="1311"/>
      <c r="AD9" s="1942"/>
      <c r="AE9" s="2122"/>
      <c r="AF9" s="1954"/>
      <c r="AG9" s="2184"/>
      <c r="AH9" s="1885"/>
      <c r="AI9" s="2122"/>
      <c r="AJ9" s="1954"/>
      <c r="AK9" s="2183"/>
      <c r="AL9" s="1885"/>
      <c r="AM9" s="1934"/>
      <c r="AN9" s="1954"/>
      <c r="AO9" s="2188"/>
      <c r="AP9" s="2190"/>
      <c r="AQ9" s="234"/>
      <c r="AR9" s="346"/>
      <c r="AS9" s="346" t="s">
        <v>1697</v>
      </c>
      <c r="AT9" s="1311"/>
      <c r="AU9" s="1408"/>
      <c r="AV9" s="1311"/>
      <c r="AW9" s="1408"/>
      <c r="AX9" s="1311"/>
      <c r="AY9" s="1311"/>
      <c r="AZ9" s="1311"/>
      <c r="BA9" s="1311"/>
      <c r="BB9" s="1315"/>
      <c r="BC9" s="2099"/>
      <c r="BE9" s="426"/>
      <c r="BF9" s="426"/>
      <c r="BG9" s="426"/>
      <c r="BH9" s="426"/>
    </row>
    <row r="10" spans="1:60" ht="11.25" hidden="1" customHeight="1">
      <c r="A10" s="1281"/>
      <c r="B10" s="1281"/>
      <c r="C10" s="1281"/>
      <c r="D10" s="1281"/>
      <c r="E10" s="2077"/>
      <c r="F10" s="2077"/>
      <c r="G10" s="2077"/>
      <c r="H10" s="2077"/>
      <c r="I10" s="2079"/>
      <c r="J10" s="2079"/>
      <c r="K10" s="2078"/>
      <c r="L10" s="1282"/>
      <c r="P10" s="1995"/>
      <c r="Q10" s="1995"/>
      <c r="R10" s="2129"/>
      <c r="S10" s="2127"/>
      <c r="T10" s="2186"/>
      <c r="U10" s="214"/>
      <c r="V10" s="1311"/>
      <c r="W10" s="1408"/>
      <c r="X10" s="1311"/>
      <c r="Y10" s="1408"/>
      <c r="Z10" s="1311"/>
      <c r="AA10" s="1311"/>
      <c r="AB10" s="1311"/>
      <c r="AC10" s="1311"/>
      <c r="AD10" s="1942"/>
      <c r="AE10" s="2122"/>
      <c r="AF10" s="1954"/>
      <c r="AG10" s="2184"/>
      <c r="AH10" s="1885"/>
      <c r="AI10" s="2122"/>
      <c r="AJ10" s="1954"/>
      <c r="AK10" s="2183"/>
      <c r="AL10" s="1885"/>
      <c r="AM10" s="234"/>
      <c r="AN10" s="1412"/>
      <c r="AO10" s="1412" t="s">
        <v>1698</v>
      </c>
      <c r="AP10" s="346"/>
      <c r="AQ10" s="346"/>
      <c r="AR10" s="346"/>
      <c r="AS10" s="1311"/>
      <c r="AT10" s="1311"/>
      <c r="AU10" s="1408"/>
      <c r="AV10" s="1311"/>
      <c r="AW10" s="1408"/>
      <c r="AX10" s="1311"/>
      <c r="AY10" s="1311"/>
      <c r="AZ10" s="1311"/>
      <c r="BA10" s="1311"/>
      <c r="BB10" s="1315"/>
      <c r="BC10" s="2099"/>
      <c r="BE10" s="426"/>
      <c r="BF10" s="426"/>
      <c r="BG10" s="426"/>
      <c r="BH10" s="426"/>
    </row>
    <row r="11" spans="1:60" ht="11.25" hidden="1" customHeight="1">
      <c r="A11" s="1281"/>
      <c r="B11" s="1281"/>
      <c r="C11" s="1281"/>
      <c r="D11" s="1281"/>
      <c r="E11" s="2077"/>
      <c r="F11" s="2077"/>
      <c r="G11" s="2077"/>
      <c r="H11" s="2077"/>
      <c r="I11" s="2079"/>
      <c r="J11" s="2079"/>
      <c r="K11" s="2078"/>
      <c r="L11" s="1282"/>
      <c r="P11" s="1995"/>
      <c r="Q11" s="1995"/>
      <c r="R11" s="2129"/>
      <c r="S11" s="2127"/>
      <c r="T11" s="2186"/>
      <c r="U11" s="214"/>
      <c r="V11" s="1311"/>
      <c r="W11" s="1408"/>
      <c r="X11" s="1311"/>
      <c r="Y11" s="1408"/>
      <c r="Z11" s="1311"/>
      <c r="AA11" s="1311"/>
      <c r="AB11" s="1311"/>
      <c r="AC11" s="1311"/>
      <c r="AD11" s="1942"/>
      <c r="AE11" s="2122"/>
      <c r="AF11" s="1954"/>
      <c r="AG11" s="2184"/>
      <c r="AH11" s="1885"/>
      <c r="AI11" s="208"/>
      <c r="AJ11" s="345"/>
      <c r="AK11" s="229" t="s">
        <v>1699</v>
      </c>
      <c r="AL11" s="1311"/>
      <c r="AM11" s="1311"/>
      <c r="AN11" s="1311"/>
      <c r="AO11" s="1311"/>
      <c r="AP11" s="1311"/>
      <c r="AQ11" s="1311"/>
      <c r="AR11" s="1311"/>
      <c r="AS11" s="1311"/>
      <c r="AT11" s="1311"/>
      <c r="AU11" s="1408"/>
      <c r="AV11" s="1311"/>
      <c r="AW11" s="1408"/>
      <c r="AX11" s="1311"/>
      <c r="AY11" s="1311"/>
      <c r="AZ11" s="1311"/>
      <c r="BA11" s="1311"/>
      <c r="BB11" s="1315"/>
      <c r="BC11" s="2099"/>
      <c r="BE11" s="426"/>
      <c r="BF11" s="426"/>
      <c r="BG11" s="426"/>
      <c r="BH11" s="426"/>
    </row>
    <row r="12" spans="1:60" ht="11.25" hidden="1" customHeight="1">
      <c r="A12" s="1281"/>
      <c r="B12" s="1281"/>
      <c r="C12" s="1281"/>
      <c r="D12" s="1281"/>
      <c r="E12" s="2077"/>
      <c r="F12" s="2077"/>
      <c r="G12" s="2077"/>
      <c r="H12" s="2077"/>
      <c r="I12" s="2079"/>
      <c r="J12" s="2079"/>
      <c r="K12" s="2078"/>
      <c r="L12" s="1282"/>
      <c r="P12" s="1995"/>
      <c r="Q12" s="1995"/>
      <c r="R12" s="2129"/>
      <c r="S12" s="2128"/>
      <c r="T12" s="2187"/>
      <c r="U12" s="214"/>
      <c r="V12" s="1311"/>
      <c r="W12" s="1312" t="str">
        <f>Z8&amp;"-"&amp;AB8</f>
        <v>-</v>
      </c>
      <c r="X12" s="1311"/>
      <c r="Y12" s="1312" t="str">
        <f>AB8&amp;"-"&amp;AD8</f>
        <v>-да</v>
      </c>
      <c r="Z12" s="1311"/>
      <c r="AA12" s="1311"/>
      <c r="AB12" s="1311"/>
      <c r="AC12" s="1311"/>
      <c r="AD12" s="1890"/>
      <c r="AE12" s="228"/>
      <c r="AF12" s="230"/>
      <c r="AG12" s="346" t="s">
        <v>1700</v>
      </c>
      <c r="AH12" s="1311"/>
      <c r="AI12" s="1311"/>
      <c r="AJ12" s="1311"/>
      <c r="AK12" s="1311"/>
      <c r="AL12" s="1311"/>
      <c r="AM12" s="1311"/>
      <c r="AN12" s="1311"/>
      <c r="AO12" s="1311"/>
      <c r="AP12" s="1311"/>
      <c r="AQ12" s="1311"/>
      <c r="AR12" s="1311"/>
      <c r="AS12" s="1311"/>
      <c r="AT12" s="1311"/>
      <c r="AU12" s="1312" t="str">
        <f>AX8&amp;"-"&amp;AZ8</f>
        <v>-</v>
      </c>
      <c r="AV12" s="1311"/>
      <c r="AW12" s="1312" t="str">
        <f>AZ8&amp;"-"&amp;BB8</f>
        <v>-</v>
      </c>
      <c r="AX12" s="1311"/>
      <c r="AY12" s="1311"/>
      <c r="AZ12" s="1311"/>
      <c r="BA12" s="1311"/>
      <c r="BB12" s="1314" t="str">
        <f>BE8&amp;"-"&amp;BG8</f>
        <v>-</v>
      </c>
      <c r="BC12" s="2099"/>
      <c r="BE12" s="426"/>
      <c r="BF12" s="426" t="str">
        <f t="shared" ref="BF12:BF18" si="1">IF(T12="","",T12)</f>
        <v/>
      </c>
      <c r="BG12" s="426"/>
      <c r="BH12" s="426"/>
    </row>
    <row r="13" spans="1:60" ht="11.25" hidden="1" customHeight="1">
      <c r="A13" s="1281"/>
      <c r="B13" s="1281"/>
      <c r="C13" s="1281"/>
      <c r="D13" s="1281"/>
      <c r="E13" s="2077"/>
      <c r="F13" s="2077"/>
      <c r="G13" s="2077"/>
      <c r="H13" s="2077"/>
      <c r="I13" s="2079"/>
      <c r="J13" s="2078"/>
      <c r="K13" s="1281"/>
      <c r="L13" s="1282"/>
      <c r="P13" s="1995"/>
      <c r="Q13" s="1995"/>
      <c r="R13" s="277"/>
      <c r="S13" s="1200"/>
      <c r="T13" s="202" t="s">
        <v>540</v>
      </c>
      <c r="U13" s="291"/>
      <c r="V13" s="291"/>
      <c r="W13" s="291"/>
      <c r="X13" s="291"/>
      <c r="Y13" s="291"/>
      <c r="Z13" s="291"/>
      <c r="AA13" s="291"/>
      <c r="AB13" s="291"/>
      <c r="AC13" s="291"/>
      <c r="AD13" s="1417"/>
      <c r="AE13" s="291"/>
      <c r="AF13" s="291"/>
      <c r="AG13" s="291"/>
      <c r="AH13" s="291"/>
      <c r="AI13" s="291"/>
      <c r="AJ13" s="291"/>
      <c r="AK13" s="291"/>
      <c r="AL13" s="291"/>
      <c r="AM13" s="291"/>
      <c r="AN13" s="291"/>
      <c r="AO13" s="291"/>
      <c r="AP13" s="291"/>
      <c r="AQ13" s="291"/>
      <c r="AR13" s="291"/>
      <c r="AS13" s="291"/>
      <c r="AT13" s="291"/>
      <c r="AU13" s="291"/>
      <c r="AV13" s="291"/>
      <c r="AW13" s="291"/>
      <c r="AX13" s="291"/>
      <c r="AY13" s="291"/>
      <c r="AZ13" s="291"/>
      <c r="BA13" s="291"/>
      <c r="BB13" s="245"/>
      <c r="BC13" s="2100"/>
      <c r="BE13" s="426"/>
      <c r="BF13" s="426" t="str">
        <f t="shared" si="1"/>
        <v>Добавить строку</v>
      </c>
      <c r="BG13" s="426"/>
      <c r="BH13" s="426"/>
    </row>
    <row r="14" spans="1:60" s="1559" customFormat="1" ht="14.25" hidden="1" customHeight="1">
      <c r="A14" s="1262"/>
      <c r="B14" s="1262"/>
      <c r="C14" s="1262"/>
      <c r="D14" s="1262"/>
      <c r="E14" s="2077"/>
      <c r="F14" s="2077"/>
      <c r="G14" s="2077"/>
      <c r="H14" s="2077"/>
      <c r="I14" s="2078"/>
      <c r="J14" s="1262"/>
      <c r="K14" s="1262"/>
      <c r="L14" s="1265"/>
      <c r="M14" s="436"/>
      <c r="N14" s="436"/>
      <c r="O14" s="436"/>
      <c r="P14" s="1995"/>
      <c r="Q14" s="1393"/>
      <c r="R14" s="277"/>
      <c r="S14" s="1304"/>
      <c r="T14" s="1305"/>
      <c r="U14" s="1306"/>
      <c r="V14" s="1306"/>
      <c r="W14" s="1306"/>
      <c r="X14" s="1306"/>
      <c r="Y14" s="1306"/>
      <c r="Z14" s="1306"/>
      <c r="AA14" s="1306"/>
      <c r="AB14" s="1306"/>
      <c r="AC14" s="1306"/>
      <c r="AD14" s="1306"/>
      <c r="AE14" s="1306"/>
      <c r="AF14" s="1306"/>
      <c r="AG14" s="1306"/>
      <c r="AH14" s="1306"/>
      <c r="AI14" s="1306"/>
      <c r="AJ14" s="1306"/>
      <c r="AK14" s="1306"/>
      <c r="AL14" s="1306"/>
      <c r="AM14" s="1306"/>
      <c r="AN14" s="1306"/>
      <c r="AO14" s="1306"/>
      <c r="AP14" s="1306"/>
      <c r="AQ14" s="1306"/>
      <c r="AR14" s="1306"/>
      <c r="AS14" s="1306"/>
      <c r="AT14" s="1306"/>
      <c r="AU14" s="1306"/>
      <c r="AV14" s="1306"/>
      <c r="AW14" s="1306"/>
      <c r="AX14" s="1306"/>
      <c r="AY14" s="1306"/>
      <c r="AZ14" s="1306"/>
      <c r="BA14" s="1306"/>
      <c r="BB14" s="1306"/>
      <c r="BC14" s="1307"/>
      <c r="BE14" s="426"/>
      <c r="BF14" s="426" t="str">
        <f t="shared" si="1"/>
        <v/>
      </c>
      <c r="BG14" s="426"/>
      <c r="BH14" s="426"/>
    </row>
    <row r="15" spans="1:60" s="1559" customFormat="1" ht="14.25" hidden="1" customHeight="1">
      <c r="A15" s="1262"/>
      <c r="B15" s="1262"/>
      <c r="C15" s="1262"/>
      <c r="D15" s="1262"/>
      <c r="E15" s="2077"/>
      <c r="F15" s="2077"/>
      <c r="G15" s="2077"/>
      <c r="H15" s="2076"/>
      <c r="I15" s="1262"/>
      <c r="J15" s="1262"/>
      <c r="K15" s="1262"/>
      <c r="L15" s="1265"/>
      <c r="M15" s="1235"/>
      <c r="N15" s="1235"/>
      <c r="O15" s="444"/>
      <c r="P15" s="308"/>
      <c r="Q15" s="1263"/>
      <c r="R15" s="1319"/>
      <c r="S15" s="1304"/>
      <c r="T15" s="1305"/>
      <c r="U15" s="1306"/>
      <c r="V15" s="1306"/>
      <c r="W15" s="1306"/>
      <c r="X15" s="1306"/>
      <c r="Y15" s="1306"/>
      <c r="Z15" s="1306"/>
      <c r="AA15" s="1306"/>
      <c r="AB15" s="1306"/>
      <c r="AC15" s="1306"/>
      <c r="AD15" s="1306"/>
      <c r="AE15" s="1306"/>
      <c r="AF15" s="1306"/>
      <c r="AG15" s="1306"/>
      <c r="AH15" s="1306"/>
      <c r="AI15" s="1306"/>
      <c r="AJ15" s="1306"/>
      <c r="AK15" s="1306"/>
      <c r="AL15" s="1306"/>
      <c r="AM15" s="1306"/>
      <c r="AN15" s="1306"/>
      <c r="AO15" s="1306"/>
      <c r="AP15" s="1306"/>
      <c r="AQ15" s="1306"/>
      <c r="AR15" s="1306"/>
      <c r="AS15" s="1306"/>
      <c r="AT15" s="1306"/>
      <c r="AU15" s="1306"/>
      <c r="AV15" s="1306"/>
      <c r="AW15" s="1306"/>
      <c r="AX15" s="1306"/>
      <c r="AY15" s="1306"/>
      <c r="AZ15" s="1306"/>
      <c r="BA15" s="1306"/>
      <c r="BB15" s="1306"/>
      <c r="BC15" s="1307"/>
      <c r="BE15" s="426"/>
      <c r="BF15" s="426" t="str">
        <f t="shared" si="1"/>
        <v/>
      </c>
      <c r="BG15" s="426"/>
      <c r="BH15" s="426"/>
    </row>
    <row r="16" spans="1:60" s="1559" customFormat="1" ht="14.25" hidden="1" customHeight="1">
      <c r="A16" s="1262"/>
      <c r="B16" s="1262"/>
      <c r="C16" s="1262"/>
      <c r="D16" s="1234"/>
      <c r="E16" s="2077"/>
      <c r="F16" s="2077"/>
      <c r="G16" s="2076"/>
      <c r="H16" s="1234"/>
      <c r="I16" s="1234"/>
      <c r="J16" s="1234"/>
      <c r="K16" s="1234"/>
      <c r="L16" s="1406"/>
      <c r="M16" s="1235"/>
      <c r="N16" s="1235"/>
      <c r="P16" s="1236"/>
      <c r="Q16" s="1237"/>
      <c r="R16" s="1236"/>
      <c r="S16" s="1242"/>
      <c r="T16" s="1245"/>
      <c r="U16" s="1244"/>
      <c r="V16" s="1244"/>
      <c r="W16" s="1244"/>
      <c r="X16" s="1244"/>
      <c r="Y16" s="1244"/>
      <c r="Z16" s="1244"/>
      <c r="AA16" s="1244"/>
      <c r="AB16" s="1244"/>
      <c r="AC16" s="1244"/>
      <c r="AD16" s="1244"/>
      <c r="AE16" s="1244"/>
      <c r="AF16" s="1244"/>
      <c r="AG16" s="1244"/>
      <c r="AH16" s="1244"/>
      <c r="AI16" s="1244"/>
      <c r="AJ16" s="1244"/>
      <c r="AK16" s="1244"/>
      <c r="AL16" s="1244"/>
      <c r="AM16" s="1244"/>
      <c r="AN16" s="1244"/>
      <c r="AO16" s="1244"/>
      <c r="AP16" s="1244"/>
      <c r="AQ16" s="1244"/>
      <c r="AR16" s="1244"/>
      <c r="AS16" s="1244"/>
      <c r="AT16" s="1244"/>
      <c r="AU16" s="1244"/>
      <c r="AV16" s="1244"/>
      <c r="AW16" s="1244"/>
      <c r="AX16" s="1244"/>
      <c r="AY16" s="1244"/>
      <c r="AZ16" s="1244"/>
      <c r="BA16" s="1244"/>
      <c r="BB16" s="1244"/>
      <c r="BC16" s="1244"/>
      <c r="BE16" s="702"/>
      <c r="BF16" s="702" t="str">
        <f t="shared" si="1"/>
        <v/>
      </c>
      <c r="BG16" s="702"/>
      <c r="BH16" s="702"/>
    </row>
    <row r="17" spans="1:60" s="1559" customFormat="1" ht="14.25" hidden="1" customHeight="1">
      <c r="A17" s="1262"/>
      <c r="B17" s="1262"/>
      <c r="C17" s="1234"/>
      <c r="D17" s="1234"/>
      <c r="E17" s="2077"/>
      <c r="F17" s="2076"/>
      <c r="G17" s="1234"/>
      <c r="H17" s="1234"/>
      <c r="I17" s="1234"/>
      <c r="J17" s="1234"/>
      <c r="K17" s="1234"/>
      <c r="L17" s="1406"/>
      <c r="M17" s="1241"/>
      <c r="N17" s="1241"/>
      <c r="P17" s="1236"/>
      <c r="Q17" s="1237"/>
      <c r="R17" s="1236"/>
      <c r="S17" s="1242"/>
      <c r="T17" s="1245" t="s">
        <v>434</v>
      </c>
      <c r="U17" s="1244"/>
      <c r="V17" s="1244"/>
      <c r="W17" s="1244"/>
      <c r="X17" s="1244"/>
      <c r="Y17" s="1244"/>
      <c r="Z17" s="1244"/>
      <c r="AA17" s="1244"/>
      <c r="AB17" s="1244"/>
      <c r="AC17" s="1244"/>
      <c r="AD17" s="1244"/>
      <c r="AE17" s="1244"/>
      <c r="AF17" s="1244"/>
      <c r="AG17" s="1244"/>
      <c r="AH17" s="1244"/>
      <c r="AI17" s="1244"/>
      <c r="AJ17" s="1244"/>
      <c r="AK17" s="1244"/>
      <c r="AL17" s="1244"/>
      <c r="AM17" s="1244"/>
      <c r="AN17" s="1244"/>
      <c r="AO17" s="1244"/>
      <c r="AP17" s="1244"/>
      <c r="AQ17" s="1244"/>
      <c r="AR17" s="1244"/>
      <c r="AS17" s="1244"/>
      <c r="AT17" s="1244"/>
      <c r="AU17" s="1244"/>
      <c r="AV17" s="1244"/>
      <c r="AW17" s="1244"/>
      <c r="AX17" s="1244"/>
      <c r="AY17" s="1244"/>
      <c r="AZ17" s="1244"/>
      <c r="BA17" s="1244"/>
      <c r="BB17" s="1244"/>
      <c r="BC17" s="1244"/>
      <c r="BE17" s="702"/>
      <c r="BF17" s="702" t="str">
        <f t="shared" si="1"/>
        <v>Добавить централизованную систему для дифференциации</v>
      </c>
      <c r="BG17" s="702"/>
      <c r="BH17" s="702"/>
    </row>
    <row r="18" spans="1:60" s="1559" customFormat="1" ht="14.25" hidden="1" customHeight="1">
      <c r="A18" s="1262"/>
      <c r="B18" s="1262"/>
      <c r="C18" s="1262"/>
      <c r="D18" s="1262"/>
      <c r="E18" s="2076"/>
      <c r="F18" s="1262"/>
      <c r="G18" s="1262"/>
      <c r="H18" s="1262"/>
      <c r="I18" s="1262"/>
      <c r="J18" s="1262"/>
      <c r="K18" s="1262"/>
      <c r="L18" s="1265"/>
      <c r="M18" s="1241"/>
      <c r="N18" s="1241"/>
      <c r="O18" s="444"/>
      <c r="P18" s="308"/>
      <c r="Q18" s="1263"/>
      <c r="R18" s="308"/>
      <c r="S18" s="1242"/>
      <c r="T18" s="1245" t="s">
        <v>435</v>
      </c>
      <c r="U18" s="1244"/>
      <c r="V18" s="1244"/>
      <c r="W18" s="1244"/>
      <c r="X18" s="1244"/>
      <c r="Y18" s="1244"/>
      <c r="Z18" s="1244"/>
      <c r="AA18" s="1244"/>
      <c r="AB18" s="1244"/>
      <c r="AC18" s="1244"/>
      <c r="AD18" s="1244"/>
      <c r="AE18" s="1244"/>
      <c r="AF18" s="1244"/>
      <c r="AG18" s="1244"/>
      <c r="AH18" s="1244"/>
      <c r="AI18" s="1244"/>
      <c r="AJ18" s="1244"/>
      <c r="AK18" s="1244"/>
      <c r="AL18" s="1244"/>
      <c r="AM18" s="1244"/>
      <c r="AN18" s="1244"/>
      <c r="AO18" s="1244"/>
      <c r="AP18" s="1244"/>
      <c r="AQ18" s="1244"/>
      <c r="AR18" s="1244"/>
      <c r="AS18" s="1244"/>
      <c r="AT18" s="1244"/>
      <c r="AU18" s="1244"/>
      <c r="AV18" s="1244"/>
      <c r="AW18" s="1244"/>
      <c r="AX18" s="1244"/>
      <c r="AY18" s="1244"/>
      <c r="AZ18" s="1244"/>
      <c r="BA18" s="1244"/>
      <c r="BB18" s="1244"/>
      <c r="BC18" s="1244"/>
      <c r="BE18" s="426"/>
      <c r="BF18" s="426" t="str">
        <f t="shared" si="1"/>
        <v>Добавить территорию для дифференциации</v>
      </c>
      <c r="BG18" s="426"/>
      <c r="BH18" s="426"/>
    </row>
    <row r="19" spans="1:60" ht="14.25" hidden="1" customHeight="1">
      <c r="AC19" s="249"/>
      <c r="BA19" s="249"/>
    </row>
    <row r="20" spans="1:60" ht="14.25" hidden="1" customHeight="1">
      <c r="AD20" s="1244" t="s">
        <v>57</v>
      </c>
      <c r="AE20" s="1413"/>
      <c r="AF20" s="472">
        <v>1</v>
      </c>
      <c r="AG20" s="1414"/>
      <c r="AH20" s="1244" t="s">
        <v>57</v>
      </c>
      <c r="AI20" s="1413"/>
      <c r="AJ20" s="472">
        <v>1</v>
      </c>
      <c r="AK20" s="1414"/>
      <c r="AL20" s="1244" t="s">
        <v>57</v>
      </c>
      <c r="AM20" s="1415"/>
      <c r="AN20" s="472">
        <v>1</v>
      </c>
      <c r="AO20" s="1416"/>
      <c r="AP20" s="1244" t="s">
        <v>57</v>
      </c>
      <c r="AQ20" s="1415"/>
      <c r="AR20" s="472">
        <v>1</v>
      </c>
      <c r="AS20" s="1416"/>
      <c r="AT20" s="246"/>
      <c r="AU20" s="313"/>
      <c r="AV20" s="246"/>
      <c r="AW20" s="313"/>
      <c r="AX20" s="1652"/>
      <c r="AY20" s="1397" t="s">
        <v>59</v>
      </c>
      <c r="AZ20" s="1652"/>
      <c r="BA20" s="1397" t="s">
        <v>59</v>
      </c>
    </row>
    <row r="21" spans="1:60" ht="14.25" hidden="1" customHeight="1">
      <c r="BD21" s="422"/>
      <c r="BE21" s="422"/>
      <c r="BF21" s="422"/>
      <c r="BG21" s="422"/>
      <c r="BH21" s="422"/>
    </row>
    <row r="22" spans="1:60" ht="14.25" hidden="1" customHeight="1">
      <c r="O22" s="1285" t="s">
        <v>477</v>
      </c>
      <c r="Z22" s="1264"/>
      <c r="AB22" s="1264"/>
      <c r="AC22" s="249"/>
      <c r="AX22" s="1264"/>
      <c r="AZ22" s="1264"/>
      <c r="BA22" s="249"/>
      <c r="BD22" s="422"/>
      <c r="BE22" s="422"/>
      <c r="BF22" s="422"/>
      <c r="BG22" s="422"/>
      <c r="BH22" s="422"/>
    </row>
    <row r="23" spans="1:60" ht="14.25" hidden="1" customHeight="1">
      <c r="AC23" s="249"/>
      <c r="BA23" s="249"/>
      <c r="BD23" s="422"/>
      <c r="BE23" s="422"/>
      <c r="BF23" s="422"/>
      <c r="BG23" s="422"/>
      <c r="BH23" s="422"/>
    </row>
    <row r="24" spans="1:60" s="1421" customFormat="1" ht="14.25" hidden="1" customHeight="1">
      <c r="M24" s="1420"/>
      <c r="N24" s="1420"/>
      <c r="O24" s="1421" t="s">
        <v>478</v>
      </c>
      <c r="P24" s="1420"/>
      <c r="Q24" s="1422"/>
      <c r="R24" s="1422"/>
      <c r="AA24" s="1419" t="s">
        <v>480</v>
      </c>
      <c r="AC24" s="1419" t="s">
        <v>481</v>
      </c>
      <c r="AD24" s="1419" t="s">
        <v>541</v>
      </c>
      <c r="AH24" s="1419" t="s">
        <v>541</v>
      </c>
      <c r="AK24" s="1419" t="s">
        <v>1701</v>
      </c>
      <c r="AL24" s="1419" t="s">
        <v>541</v>
      </c>
      <c r="AP24" s="1419" t="s">
        <v>541</v>
      </c>
      <c r="AY24" s="1419" t="s">
        <v>480</v>
      </c>
      <c r="BA24" s="1419" t="s">
        <v>481</v>
      </c>
      <c r="BD24" s="1423"/>
      <c r="BE24" s="1423"/>
      <c r="BF24" s="1423"/>
      <c r="BG24" s="1423"/>
      <c r="BH24" s="1423"/>
    </row>
    <row r="25" spans="1:60" ht="14.25" hidden="1" customHeight="1">
      <c r="O25" s="1282"/>
      <c r="BD25" s="422"/>
      <c r="BE25" s="422"/>
      <c r="BF25" s="422"/>
      <c r="BG25" s="422"/>
      <c r="BH25" s="422"/>
    </row>
    <row r="26" spans="1:60" ht="14.25" hidden="1" customHeight="1">
      <c r="O26" s="1282"/>
      <c r="BD26" s="422"/>
      <c r="BE26" s="422"/>
      <c r="BF26" s="422"/>
      <c r="BG26" s="422"/>
      <c r="BH26" s="422"/>
    </row>
    <row r="27" spans="1:60" ht="14.25" customHeight="1">
      <c r="Q27" s="206"/>
      <c r="R27" s="300"/>
      <c r="S27" s="1197"/>
      <c r="T27" s="286"/>
      <c r="U27" s="286"/>
      <c r="V27" s="435"/>
      <c r="W27" s="435"/>
      <c r="X27" s="435"/>
      <c r="Y27" s="435"/>
      <c r="Z27" s="435"/>
      <c r="AA27" s="435"/>
      <c r="AB27" s="435"/>
      <c r="AC27" s="435"/>
      <c r="AD27" s="435"/>
      <c r="AE27" s="435"/>
      <c r="AF27" s="435"/>
      <c r="AG27" s="435"/>
      <c r="AH27" s="435"/>
      <c r="AI27" s="435"/>
      <c r="AJ27" s="435"/>
      <c r="AK27" s="435"/>
      <c r="AL27" s="435"/>
      <c r="AM27" s="435"/>
      <c r="AN27" s="435"/>
      <c r="AO27" s="435"/>
      <c r="AP27" s="435"/>
      <c r="AQ27" s="435"/>
      <c r="AR27" s="435"/>
      <c r="AS27" s="435"/>
      <c r="AT27" s="435"/>
      <c r="AU27" s="435"/>
      <c r="AV27" s="435"/>
      <c r="AW27" s="435"/>
      <c r="AX27" s="435"/>
      <c r="AY27" s="435"/>
      <c r="AZ27" s="435"/>
      <c r="BA27" s="435"/>
    </row>
    <row r="28" spans="1:60" ht="33.75" customHeight="1">
      <c r="Q28" s="206"/>
      <c r="R28" s="300"/>
      <c r="S28" s="2101" t="str">
        <f>IF(TEMPLATE_GROUP="P",PT_P_FORM_HOTVSNA_5_NAME_FORM,PT_R_FORM_HOTVSNA_17_NAME_FORM)</f>
        <v>Форма 17. Информация о предложении расчетной величины тарифов на подключение (технологическое присоединение) к централизованной системе горячего водоснабжения &lt;1&gt;</v>
      </c>
      <c r="T28" s="2101"/>
      <c r="U28" s="2101"/>
      <c r="V28" s="2101"/>
      <c r="W28" s="2101"/>
      <c r="X28" s="2101"/>
      <c r="Y28" s="2101"/>
      <c r="Z28" s="2101"/>
      <c r="AA28" s="2101"/>
      <c r="AB28" s="2101"/>
      <c r="AC28" s="2101"/>
      <c r="AD28" s="2101"/>
      <c r="AE28" s="2101"/>
      <c r="AF28" s="2101"/>
      <c r="AG28" s="2101"/>
      <c r="AH28" s="2101"/>
      <c r="AI28" s="2101"/>
      <c r="AJ28" s="2101"/>
      <c r="AK28" s="2101"/>
      <c r="AL28" s="2101"/>
      <c r="AM28" s="2101"/>
      <c r="AN28" s="2101"/>
      <c r="AO28" s="2101"/>
      <c r="AP28" s="2101"/>
      <c r="AQ28" s="2101"/>
      <c r="AR28" s="2101"/>
      <c r="AS28" s="2101"/>
      <c r="AT28" s="2101"/>
      <c r="AU28" s="2101"/>
      <c r="AV28" s="2101"/>
      <c r="AW28" s="2101"/>
      <c r="AX28" s="2101"/>
      <c r="AY28" s="2101"/>
      <c r="AZ28" s="2101"/>
      <c r="BA28" s="1154"/>
    </row>
    <row r="29" spans="1:60" ht="14.25" customHeight="1">
      <c r="Q29" s="206"/>
      <c r="R29" s="300"/>
      <c r="S29" s="1961" t="str">
        <f>IF(org=0,"Не определено",org)</f>
        <v>АО СЗ "КМАпроектжилстрой"</v>
      </c>
      <c r="T29" s="1961"/>
      <c r="U29" s="1961"/>
      <c r="V29" s="1961"/>
      <c r="W29" s="1961"/>
      <c r="X29" s="1961"/>
      <c r="Y29" s="1961"/>
      <c r="Z29" s="1961"/>
      <c r="AA29" s="1961"/>
      <c r="AB29" s="1961"/>
      <c r="AC29" s="1961"/>
      <c r="AD29" s="1961"/>
      <c r="AE29" s="1961"/>
      <c r="AF29" s="1961"/>
      <c r="AG29" s="1961"/>
      <c r="AH29" s="1961"/>
      <c r="AI29" s="1961"/>
      <c r="AJ29" s="1961"/>
      <c r="AK29" s="1961"/>
      <c r="AL29" s="1961"/>
      <c r="AM29" s="1961"/>
      <c r="AN29" s="1961"/>
      <c r="AO29" s="1961"/>
      <c r="AP29" s="1961"/>
      <c r="AQ29" s="1961"/>
      <c r="AR29" s="1961"/>
      <c r="AS29" s="1961"/>
      <c r="AT29" s="1961"/>
      <c r="AU29" s="1961"/>
      <c r="AV29" s="1961"/>
      <c r="AW29" s="1961"/>
      <c r="AX29" s="1961"/>
      <c r="AY29" s="1961"/>
      <c r="AZ29" s="1961"/>
      <c r="BA29" s="1154"/>
    </row>
    <row r="30" spans="1:60" ht="14.25" hidden="1" customHeight="1">
      <c r="Q30" s="206"/>
      <c r="R30" s="300"/>
      <c r="S30" s="1197"/>
      <c r="T30" s="286"/>
      <c r="U30" s="286"/>
      <c r="V30" s="242"/>
      <c r="W30" s="242"/>
      <c r="X30" s="242"/>
      <c r="Y30" s="242"/>
      <c r="Z30" s="242"/>
      <c r="AA30" s="242"/>
      <c r="AB30" s="242"/>
      <c r="AC30" s="242"/>
      <c r="AD30" s="242"/>
      <c r="AE30" s="242"/>
      <c r="AF30" s="242"/>
      <c r="AG30" s="242"/>
      <c r="AH30" s="242"/>
      <c r="AI30" s="242"/>
      <c r="AJ30" s="242"/>
      <c r="AK30" s="242"/>
      <c r="AL30" s="242"/>
      <c r="AM30" s="242"/>
      <c r="AN30" s="242"/>
      <c r="AO30" s="242"/>
      <c r="AP30" s="242"/>
      <c r="AQ30" s="242"/>
      <c r="AR30" s="242"/>
      <c r="AS30" s="242"/>
      <c r="AT30" s="242"/>
      <c r="AU30" s="242"/>
      <c r="AV30" s="242"/>
      <c r="AW30" s="242"/>
      <c r="AX30" s="242"/>
      <c r="AY30" s="242"/>
      <c r="AZ30" s="242"/>
      <c r="BA30" s="242"/>
      <c r="BB30" s="435"/>
    </row>
    <row r="31" spans="1:60" s="1773" customFormat="1" ht="25.5" hidden="1" customHeight="1">
      <c r="A31" s="1286"/>
      <c r="B31" s="1286"/>
      <c r="C31" s="1286"/>
      <c r="D31" s="1286"/>
      <c r="E31" s="1286"/>
      <c r="F31" s="1286"/>
      <c r="G31" s="1286"/>
      <c r="H31" s="1286"/>
      <c r="I31" s="1286"/>
      <c r="J31" s="1286"/>
      <c r="K31" s="1286"/>
      <c r="L31" s="1287"/>
      <c r="M31" s="1286"/>
      <c r="N31" s="1286"/>
      <c r="O31" s="1286"/>
      <c r="P31" s="1286"/>
      <c r="Q31" s="1286"/>
      <c r="S31" s="2067" t="s">
        <v>40</v>
      </c>
      <c r="T31" s="2067"/>
      <c r="U31" s="1290"/>
      <c r="V31" s="2069"/>
      <c r="W31" s="2069"/>
      <c r="X31" s="2069"/>
      <c r="Y31" s="2069"/>
      <c r="Z31" s="2069"/>
      <c r="AA31" s="2069"/>
      <c r="AB31" s="2069"/>
      <c r="AC31" s="248"/>
      <c r="AD31" s="2069" t="str">
        <f>IF(TITLE_NAME_OR_PR_CHANGE="",IF(TITLE_NAME_OR_PR="","",TITLE_NAME_OR_PR),TITLE_NAME_OR_PR_CHANGE)</f>
        <v/>
      </c>
      <c r="AE31" s="2069"/>
      <c r="AF31" s="2069"/>
      <c r="AG31" s="2069"/>
      <c r="AH31" s="2069"/>
      <c r="AI31" s="2069"/>
      <c r="AJ31" s="2069"/>
      <c r="AK31" s="2069"/>
      <c r="AL31" s="2069"/>
      <c r="AM31" s="2069"/>
      <c r="AN31" s="2069"/>
      <c r="AO31" s="2069"/>
      <c r="AP31" s="2069"/>
      <c r="AQ31" s="2069"/>
      <c r="AR31" s="2069"/>
      <c r="AS31" s="2069"/>
      <c r="AT31" s="2069"/>
      <c r="AU31" s="2069"/>
      <c r="AV31" s="2069"/>
      <c r="AW31" s="2069"/>
      <c r="AX31" s="2069"/>
      <c r="AY31" s="2069"/>
      <c r="AZ31" s="2069"/>
      <c r="BA31" s="248"/>
      <c r="BB31" s="248"/>
      <c r="BC31" s="196"/>
      <c r="BD31" s="292"/>
      <c r="BE31" s="292"/>
      <c r="BF31" s="292"/>
      <c r="BG31" s="292"/>
      <c r="BH31" s="292"/>
    </row>
    <row r="32" spans="1:60" s="1773" customFormat="1" ht="18.75" hidden="1" customHeight="1">
      <c r="A32" s="1286"/>
      <c r="B32" s="1286"/>
      <c r="C32" s="1286"/>
      <c r="D32" s="1286"/>
      <c r="E32" s="1286"/>
      <c r="F32" s="1286"/>
      <c r="G32" s="1286"/>
      <c r="H32" s="1286"/>
      <c r="I32" s="1286"/>
      <c r="J32" s="1286"/>
      <c r="K32" s="1286"/>
      <c r="L32" s="1287"/>
      <c r="M32" s="1286"/>
      <c r="N32" s="1286"/>
      <c r="O32" s="1286"/>
      <c r="P32" s="1286"/>
      <c r="Q32" s="1286"/>
      <c r="S32" s="2067" t="s">
        <v>483</v>
      </c>
      <c r="T32" s="2067"/>
      <c r="U32" s="1290"/>
      <c r="V32" s="2068"/>
      <c r="W32" s="2068"/>
      <c r="X32" s="2068"/>
      <c r="Y32" s="2068"/>
      <c r="Z32" s="2068"/>
      <c r="AA32" s="2068"/>
      <c r="AB32" s="2068"/>
      <c r="AC32" s="248"/>
      <c r="AD32" s="2068" t="str">
        <f>IF(TITLE_DATE_CHANGE_PERIOD="",IF(TITLE_DATE_PR="","",TITLE_DATE_PR),TITLE_DATE_CHANGE_PERIOD)</f>
        <v/>
      </c>
      <c r="AE32" s="2068"/>
      <c r="AF32" s="2068"/>
      <c r="AG32" s="2068"/>
      <c r="AH32" s="2068"/>
      <c r="AI32" s="2068"/>
      <c r="AJ32" s="2068"/>
      <c r="AK32" s="2068"/>
      <c r="AL32" s="2068"/>
      <c r="AM32" s="2068"/>
      <c r="AN32" s="2068"/>
      <c r="AO32" s="2068"/>
      <c r="AP32" s="2068"/>
      <c r="AQ32" s="2068"/>
      <c r="AR32" s="2068"/>
      <c r="AS32" s="2068"/>
      <c r="AT32" s="2068"/>
      <c r="AU32" s="2068"/>
      <c r="AV32" s="2068"/>
      <c r="AW32" s="2068"/>
      <c r="AX32" s="2068"/>
      <c r="AY32" s="2068"/>
      <c r="AZ32" s="2068"/>
      <c r="BA32" s="248"/>
      <c r="BB32" s="248"/>
      <c r="BC32" s="196"/>
      <c r="BD32" s="292"/>
      <c r="BE32" s="292"/>
      <c r="BF32" s="292"/>
      <c r="BG32" s="292"/>
      <c r="BH32" s="292"/>
    </row>
    <row r="33" spans="1:60" s="1773" customFormat="1" ht="18.75" hidden="1" customHeight="1">
      <c r="A33" s="1286"/>
      <c r="B33" s="1286"/>
      <c r="C33" s="1286"/>
      <c r="D33" s="1286"/>
      <c r="E33" s="1286"/>
      <c r="F33" s="1286"/>
      <c r="G33" s="1286"/>
      <c r="H33" s="1286"/>
      <c r="I33" s="1286"/>
      <c r="J33" s="1286"/>
      <c r="K33" s="1286"/>
      <c r="L33" s="1287"/>
      <c r="M33" s="1286"/>
      <c r="N33" s="1286"/>
      <c r="O33" s="1286"/>
      <c r="P33" s="1286"/>
      <c r="Q33" s="1286"/>
      <c r="S33" s="2067" t="s">
        <v>484</v>
      </c>
      <c r="T33" s="2067"/>
      <c r="U33" s="1290"/>
      <c r="V33" s="2069"/>
      <c r="W33" s="2069"/>
      <c r="X33" s="2069"/>
      <c r="Y33" s="2069"/>
      <c r="Z33" s="2069"/>
      <c r="AA33" s="2069"/>
      <c r="AB33" s="2069"/>
      <c r="AC33" s="248"/>
      <c r="AD33" s="2069" t="str">
        <f>IF(TITLE_NUMBER_PR_CHANGE="",IF(TITLE_NUMBER_PR="","",TITLE_NUMBER_PR),TITLE_NUMBER_PR_CHANGE)</f>
        <v/>
      </c>
      <c r="AE33" s="2069"/>
      <c r="AF33" s="2069"/>
      <c r="AG33" s="2069"/>
      <c r="AH33" s="2069"/>
      <c r="AI33" s="2069"/>
      <c r="AJ33" s="2069"/>
      <c r="AK33" s="2069"/>
      <c r="AL33" s="2069"/>
      <c r="AM33" s="2069"/>
      <c r="AN33" s="2069"/>
      <c r="AO33" s="2069"/>
      <c r="AP33" s="2069"/>
      <c r="AQ33" s="2069"/>
      <c r="AR33" s="2069"/>
      <c r="AS33" s="2069"/>
      <c r="AT33" s="2069"/>
      <c r="AU33" s="2069"/>
      <c r="AV33" s="2069"/>
      <c r="AW33" s="2069"/>
      <c r="AX33" s="2069"/>
      <c r="AY33" s="2069"/>
      <c r="AZ33" s="2069"/>
      <c r="BA33" s="248"/>
      <c r="BB33" s="248"/>
      <c r="BC33" s="196"/>
      <c r="BD33" s="292"/>
      <c r="BE33" s="292"/>
      <c r="BF33" s="292"/>
      <c r="BG33" s="292"/>
      <c r="BH33" s="292"/>
    </row>
    <row r="34" spans="1:60" s="1773" customFormat="1" ht="18.75" hidden="1" customHeight="1">
      <c r="A34" s="1286"/>
      <c r="B34" s="1286"/>
      <c r="C34" s="1286"/>
      <c r="D34" s="1286"/>
      <c r="E34" s="1286"/>
      <c r="F34" s="1286"/>
      <c r="G34" s="1286"/>
      <c r="H34" s="1286"/>
      <c r="I34" s="1286"/>
      <c r="J34" s="1286"/>
      <c r="K34" s="1286"/>
      <c r="L34" s="1287"/>
      <c r="M34" s="1286"/>
      <c r="N34" s="1286"/>
      <c r="O34" s="1286"/>
      <c r="P34" s="1286"/>
      <c r="Q34" s="1286"/>
      <c r="S34" s="2067" t="s">
        <v>41</v>
      </c>
      <c r="T34" s="2067"/>
      <c r="U34" s="1290"/>
      <c r="V34" s="2069"/>
      <c r="W34" s="2069"/>
      <c r="X34" s="2069"/>
      <c r="Y34" s="2069"/>
      <c r="Z34" s="2069"/>
      <c r="AA34" s="2069"/>
      <c r="AB34" s="2069"/>
      <c r="AC34" s="248"/>
      <c r="AD34" s="2069" t="str">
        <f>IF(TITLE_IST_PUB_CHANGE="",IF(TITLE_IST_PUB="","",TITLE_IST_PUB),TITLE_IST_PUB_CHANGE)</f>
        <v/>
      </c>
      <c r="AE34" s="2069"/>
      <c r="AF34" s="2069"/>
      <c r="AG34" s="2069"/>
      <c r="AH34" s="2069"/>
      <c r="AI34" s="2069"/>
      <c r="AJ34" s="2069"/>
      <c r="AK34" s="2069"/>
      <c r="AL34" s="2069"/>
      <c r="AM34" s="2069"/>
      <c r="AN34" s="2069"/>
      <c r="AO34" s="2069"/>
      <c r="AP34" s="2069"/>
      <c r="AQ34" s="2069"/>
      <c r="AR34" s="2069"/>
      <c r="AS34" s="2069"/>
      <c r="AT34" s="2069"/>
      <c r="AU34" s="2069"/>
      <c r="AV34" s="2069"/>
      <c r="AW34" s="2069"/>
      <c r="AX34" s="2069"/>
      <c r="AY34" s="2069"/>
      <c r="AZ34" s="2069"/>
      <c r="BA34" s="248"/>
      <c r="BB34" s="248"/>
      <c r="BC34" s="196"/>
      <c r="BD34" s="292"/>
      <c r="BE34" s="292"/>
      <c r="BF34" s="292"/>
      <c r="BG34" s="292"/>
      <c r="BH34" s="292"/>
    </row>
    <row r="35" spans="1:60" ht="14.25" hidden="1" customHeight="1">
      <c r="Q35" s="206"/>
      <c r="R35" s="300"/>
      <c r="S35" s="1197"/>
      <c r="T35" s="286"/>
      <c r="U35" s="286"/>
      <c r="V35" s="242"/>
      <c r="W35" s="242"/>
      <c r="X35" s="242"/>
      <c r="Y35" s="242"/>
      <c r="Z35" s="242"/>
      <c r="AA35" s="242"/>
      <c r="AB35" s="242"/>
      <c r="AC35" s="242"/>
      <c r="AD35" s="242"/>
      <c r="AE35" s="242"/>
      <c r="AF35" s="242"/>
      <c r="AG35" s="242"/>
      <c r="AH35" s="242"/>
      <c r="AI35" s="242"/>
      <c r="AJ35" s="242"/>
      <c r="AK35" s="242"/>
      <c r="AL35" s="242"/>
      <c r="AM35" s="242"/>
      <c r="AN35" s="242"/>
      <c r="AO35" s="242"/>
      <c r="AP35" s="242"/>
      <c r="AQ35" s="242"/>
      <c r="AR35" s="242"/>
      <c r="AS35" s="242"/>
      <c r="AT35" s="242"/>
      <c r="AU35" s="242"/>
      <c r="AV35" s="242"/>
      <c r="AW35" s="242"/>
      <c r="AX35" s="242"/>
      <c r="AY35" s="242"/>
      <c r="AZ35" s="242"/>
      <c r="BA35" s="242"/>
      <c r="BB35" s="435"/>
    </row>
    <row r="36" spans="1:60" s="1773" customFormat="1" ht="18.75" hidden="1" customHeight="1">
      <c r="A36" s="1286"/>
      <c r="B36" s="1286"/>
      <c r="C36" s="1286"/>
      <c r="D36" s="1286"/>
      <c r="E36" s="1286"/>
      <c r="F36" s="1286"/>
      <c r="G36" s="1286"/>
      <c r="H36" s="1286"/>
      <c r="I36" s="1286"/>
      <c r="J36" s="1286"/>
      <c r="K36" s="1286"/>
      <c r="L36" s="1287"/>
      <c r="M36" s="1286"/>
      <c r="N36" s="1286"/>
      <c r="O36" s="1286"/>
      <c r="P36" s="1286"/>
      <c r="Q36" s="1286"/>
      <c r="S36" s="2067" t="s">
        <v>483</v>
      </c>
      <c r="T36" s="2067"/>
      <c r="U36" s="1290"/>
      <c r="V36" s="2068"/>
      <c r="W36" s="2068"/>
      <c r="X36" s="2068"/>
      <c r="Y36" s="2068"/>
      <c r="Z36" s="2068"/>
      <c r="AA36" s="2068"/>
      <c r="AB36" s="2068"/>
      <c r="AC36" s="248"/>
      <c r="AD36" s="2068" t="str">
        <f>IF(TITLE_DATE_CHANGE_PERIOD="",IF(TITLE_DATE_PR="","",TITLE_DATE_PR),TITLE_DATE_CHANGE_PERIOD)</f>
        <v/>
      </c>
      <c r="AE36" s="2068"/>
      <c r="AF36" s="2068"/>
      <c r="AG36" s="2068"/>
      <c r="AH36" s="2068"/>
      <c r="AI36" s="2068"/>
      <c r="AJ36" s="2068"/>
      <c r="AK36" s="2068"/>
      <c r="AL36" s="2068"/>
      <c r="AM36" s="2068"/>
      <c r="AN36" s="2068"/>
      <c r="AO36" s="2068"/>
      <c r="AP36" s="2068"/>
      <c r="AQ36" s="2068"/>
      <c r="AR36" s="2068"/>
      <c r="AS36" s="2068"/>
      <c r="AT36" s="2068"/>
      <c r="AU36" s="2068"/>
      <c r="AV36" s="2068"/>
      <c r="AW36" s="2068"/>
      <c r="AX36" s="2068"/>
      <c r="AY36" s="2068"/>
      <c r="AZ36" s="2068"/>
      <c r="BA36" s="248"/>
      <c r="BB36" s="248"/>
      <c r="BC36" s="196"/>
      <c r="BD36" s="292"/>
      <c r="BE36" s="292"/>
      <c r="BF36" s="292"/>
      <c r="BG36" s="292"/>
      <c r="BH36" s="292"/>
    </row>
    <row r="37" spans="1:60" s="1773" customFormat="1" ht="18.75" hidden="1" customHeight="1">
      <c r="A37" s="1286"/>
      <c r="B37" s="1286"/>
      <c r="C37" s="1286"/>
      <c r="D37" s="1286"/>
      <c r="E37" s="1286"/>
      <c r="F37" s="1286"/>
      <c r="G37" s="1286"/>
      <c r="H37" s="1286"/>
      <c r="I37" s="1286"/>
      <c r="J37" s="1286"/>
      <c r="K37" s="1286"/>
      <c r="L37" s="1287"/>
      <c r="M37" s="1286"/>
      <c r="N37" s="1286"/>
      <c r="O37" s="1286"/>
      <c r="P37" s="1286"/>
      <c r="Q37" s="1286"/>
      <c r="S37" s="2067" t="s">
        <v>484</v>
      </c>
      <c r="T37" s="2067"/>
      <c r="U37" s="1290"/>
      <c r="V37" s="2069"/>
      <c r="W37" s="2069"/>
      <c r="X37" s="2069"/>
      <c r="Y37" s="2069"/>
      <c r="Z37" s="2069"/>
      <c r="AA37" s="2069"/>
      <c r="AB37" s="2069"/>
      <c r="AC37" s="248"/>
      <c r="AD37" s="2069" t="str">
        <f>IF(TITLE_NUMBER_PR_CHANGE="",IF(TITLE_NUMBER_PR="","",TITLE_NUMBER_PR),TITLE_NUMBER_PR_CHANGE)</f>
        <v/>
      </c>
      <c r="AE37" s="2069"/>
      <c r="AF37" s="2069"/>
      <c r="AG37" s="2069"/>
      <c r="AH37" s="2069"/>
      <c r="AI37" s="2069"/>
      <c r="AJ37" s="2069"/>
      <c r="AK37" s="2069"/>
      <c r="AL37" s="2069"/>
      <c r="AM37" s="2069"/>
      <c r="AN37" s="2069"/>
      <c r="AO37" s="2069"/>
      <c r="AP37" s="2069"/>
      <c r="AQ37" s="2069"/>
      <c r="AR37" s="2069"/>
      <c r="AS37" s="2069"/>
      <c r="AT37" s="2069"/>
      <c r="AU37" s="2069"/>
      <c r="AV37" s="2069"/>
      <c r="AW37" s="2069"/>
      <c r="AX37" s="2069"/>
      <c r="AY37" s="2069"/>
      <c r="AZ37" s="2069"/>
      <c r="BA37" s="248"/>
      <c r="BB37" s="248"/>
      <c r="BC37" s="196"/>
      <c r="BD37" s="292"/>
      <c r="BE37" s="292"/>
      <c r="BF37" s="292"/>
      <c r="BG37" s="292"/>
      <c r="BH37" s="292"/>
    </row>
    <row r="38" spans="1:60" s="1773" customFormat="1" ht="0" hidden="1" customHeight="1">
      <c r="A38" s="1286"/>
      <c r="B38" s="1286"/>
      <c r="C38" s="1286"/>
      <c r="D38" s="1286"/>
      <c r="E38" s="1286"/>
      <c r="F38" s="1286"/>
      <c r="G38" s="1286"/>
      <c r="H38" s="1286"/>
      <c r="I38" s="1286"/>
      <c r="J38" s="1286"/>
      <c r="K38" s="1286"/>
      <c r="L38" s="1287"/>
      <c r="M38" s="1286"/>
      <c r="N38" s="1286"/>
      <c r="O38" s="1286"/>
      <c r="P38" s="1286"/>
      <c r="Q38" s="1286"/>
      <c r="S38" s="244"/>
      <c r="T38" s="244"/>
      <c r="U38" s="1400"/>
      <c r="V38" s="248"/>
      <c r="W38" s="248"/>
      <c r="X38" s="248"/>
      <c r="Y38" s="248"/>
      <c r="Z38" s="248"/>
      <c r="AA38" s="248"/>
      <c r="AB38" s="248"/>
      <c r="AC38" s="194" t="s">
        <v>487</v>
      </c>
      <c r="AD38" s="248"/>
      <c r="AE38" s="248"/>
      <c r="AF38" s="248"/>
      <c r="AG38" s="248"/>
      <c r="AH38" s="248"/>
      <c r="AI38" s="248"/>
      <c r="AJ38" s="248"/>
      <c r="AK38" s="248"/>
      <c r="AL38" s="248"/>
      <c r="AM38" s="248"/>
      <c r="AN38" s="248"/>
      <c r="AO38" s="248"/>
      <c r="AP38" s="248"/>
      <c r="AQ38" s="248"/>
      <c r="AR38" s="248"/>
      <c r="AS38" s="248"/>
      <c r="AT38" s="248"/>
      <c r="AU38" s="248"/>
      <c r="AV38" s="248"/>
      <c r="AW38" s="248"/>
      <c r="AX38" s="248"/>
      <c r="AY38" s="248"/>
      <c r="AZ38" s="248"/>
      <c r="BA38" s="194" t="s">
        <v>487</v>
      </c>
      <c r="BD38" s="292"/>
      <c r="BE38" s="292"/>
      <c r="BF38" s="292"/>
      <c r="BG38" s="292"/>
      <c r="BH38" s="292"/>
    </row>
    <row r="39" spans="1:60" ht="14.25" customHeight="1">
      <c r="Q39" s="206"/>
      <c r="R39" s="300"/>
      <c r="S39" s="1197"/>
      <c r="T39" s="286"/>
      <c r="U39" s="1155"/>
      <c r="V39" s="2087"/>
      <c r="W39" s="2087"/>
      <c r="X39" s="2087"/>
      <c r="Y39" s="2087"/>
      <c r="Z39" s="2087"/>
      <c r="AA39" s="2087"/>
      <c r="AB39" s="2087"/>
      <c r="AC39" s="2087"/>
      <c r="AD39" s="2087"/>
      <c r="AE39" s="2087"/>
      <c r="AF39" s="2087"/>
      <c r="AG39" s="2087"/>
      <c r="AH39" s="2087"/>
      <c r="AI39" s="2087"/>
      <c r="AJ39" s="2087"/>
      <c r="AK39" s="2087"/>
      <c r="AL39" s="2087"/>
      <c r="AM39" s="2087"/>
      <c r="AN39" s="2087"/>
      <c r="AO39" s="2087"/>
      <c r="AP39" s="2087"/>
      <c r="AQ39" s="2087"/>
      <c r="AR39" s="2087"/>
      <c r="AS39" s="2087"/>
      <c r="AT39" s="2087"/>
      <c r="AU39" s="2087"/>
      <c r="AV39" s="2087"/>
      <c r="AW39" s="2087"/>
      <c r="AX39" s="2087"/>
      <c r="AY39" s="2087"/>
      <c r="AZ39" s="2087"/>
      <c r="BA39" s="2087"/>
    </row>
    <row r="40" spans="1:60" ht="14.25" customHeight="1">
      <c r="Q40" s="206"/>
      <c r="R40" s="300"/>
      <c r="S40" s="1874" t="s">
        <v>291</v>
      </c>
      <c r="T40" s="1874"/>
      <c r="U40" s="1874"/>
      <c r="V40" s="1874"/>
      <c r="W40" s="1874"/>
      <c r="X40" s="1874"/>
      <c r="Y40" s="1874"/>
      <c r="Z40" s="1874"/>
      <c r="AA40" s="1874"/>
      <c r="AB40" s="1874"/>
      <c r="AC40" s="1874"/>
      <c r="AD40" s="1874"/>
      <c r="AE40" s="1874"/>
      <c r="AF40" s="1874"/>
      <c r="AG40" s="1874"/>
      <c r="AH40" s="1874"/>
      <c r="AI40" s="1874"/>
      <c r="AJ40" s="1874"/>
      <c r="AK40" s="1874"/>
      <c r="AL40" s="1874"/>
      <c r="AM40" s="1874"/>
      <c r="AN40" s="1874"/>
      <c r="AO40" s="1874"/>
      <c r="AP40" s="1874"/>
      <c r="AQ40" s="1874"/>
      <c r="AR40" s="1874"/>
      <c r="AS40" s="1874"/>
      <c r="AT40" s="1874"/>
      <c r="AU40" s="1874"/>
      <c r="AV40" s="1874"/>
      <c r="AW40" s="1874"/>
      <c r="AX40" s="1874"/>
      <c r="AY40" s="1874"/>
      <c r="AZ40" s="1874"/>
      <c r="BA40" s="1874"/>
      <c r="BB40" s="1874"/>
      <c r="BC40" s="1874" t="s">
        <v>292</v>
      </c>
    </row>
    <row r="41" spans="1:60" ht="14.25" customHeight="1">
      <c r="Q41" s="206"/>
      <c r="R41" s="300"/>
      <c r="S41" s="2088" t="s">
        <v>88</v>
      </c>
      <c r="T41" s="1959" t="s">
        <v>1702</v>
      </c>
      <c r="U41" s="215"/>
      <c r="V41" s="2089" t="s">
        <v>489</v>
      </c>
      <c r="W41" s="2090"/>
      <c r="X41" s="2090"/>
      <c r="Y41" s="2090"/>
      <c r="Z41" s="2090"/>
      <c r="AA41" s="2090"/>
      <c r="AB41" s="2091"/>
      <c r="AC41" s="2092" t="s">
        <v>490</v>
      </c>
      <c r="AD41" s="2115" t="s">
        <v>1703</v>
      </c>
      <c r="AE41" s="2104"/>
      <c r="AF41" s="2104"/>
      <c r="AG41" s="2116"/>
      <c r="AH41" s="2115" t="s">
        <v>1704</v>
      </c>
      <c r="AI41" s="2104"/>
      <c r="AJ41" s="2104"/>
      <c r="AK41" s="2116"/>
      <c r="AL41" s="2115" t="s">
        <v>1705</v>
      </c>
      <c r="AM41" s="2104"/>
      <c r="AN41" s="2104"/>
      <c r="AO41" s="2116"/>
      <c r="AP41" s="2115" t="s">
        <v>1706</v>
      </c>
      <c r="AQ41" s="2104"/>
      <c r="AR41" s="2104"/>
      <c r="AS41" s="2116"/>
      <c r="AT41" s="2089" t="s">
        <v>489</v>
      </c>
      <c r="AU41" s="2090"/>
      <c r="AV41" s="2090"/>
      <c r="AW41" s="2090"/>
      <c r="AX41" s="2090"/>
      <c r="AY41" s="2090"/>
      <c r="AZ41" s="2091"/>
      <c r="BA41" s="2092" t="s">
        <v>490</v>
      </c>
      <c r="BB41" s="2095" t="s">
        <v>492</v>
      </c>
      <c r="BC41" s="1874"/>
    </row>
    <row r="42" spans="1:60" ht="33.75" customHeight="1">
      <c r="Q42" s="206"/>
      <c r="R42" s="300"/>
      <c r="S42" s="2088"/>
      <c r="T42" s="1959"/>
      <c r="U42" s="939"/>
      <c r="V42" s="1929" t="s">
        <v>1707</v>
      </c>
      <c r="W42" s="1930"/>
      <c r="X42" s="1929" t="s">
        <v>1708</v>
      </c>
      <c r="Y42" s="1930"/>
      <c r="Z42" s="1929" t="s">
        <v>1709</v>
      </c>
      <c r="AA42" s="2109"/>
      <c r="AB42" s="1930"/>
      <c r="AC42" s="2093"/>
      <c r="AD42" s="2117"/>
      <c r="AE42" s="2118"/>
      <c r="AF42" s="2118"/>
      <c r="AG42" s="2130"/>
      <c r="AH42" s="2117"/>
      <c r="AI42" s="2118"/>
      <c r="AJ42" s="2118"/>
      <c r="AK42" s="2130"/>
      <c r="AL42" s="2117"/>
      <c r="AM42" s="2118"/>
      <c r="AN42" s="2118"/>
      <c r="AO42" s="2130"/>
      <c r="AP42" s="2117"/>
      <c r="AQ42" s="2118"/>
      <c r="AR42" s="2118"/>
      <c r="AS42" s="2130"/>
      <c r="AT42" s="1929" t="s">
        <v>1707</v>
      </c>
      <c r="AU42" s="1930"/>
      <c r="AV42" s="1929" t="s">
        <v>1708</v>
      </c>
      <c r="AW42" s="1930"/>
      <c r="AX42" s="1929" t="s">
        <v>1709</v>
      </c>
      <c r="AY42" s="2109"/>
      <c r="AZ42" s="1930"/>
      <c r="BA42" s="2093"/>
      <c r="BB42" s="2096"/>
      <c r="BC42" s="1874"/>
    </row>
    <row r="43" spans="1:60" ht="14.25" customHeight="1">
      <c r="Q43" s="206"/>
      <c r="R43" s="300"/>
      <c r="S43" s="2088"/>
      <c r="T43" s="1959"/>
      <c r="U43" s="939"/>
      <c r="V43" s="1934"/>
      <c r="W43" s="1935"/>
      <c r="X43" s="1934"/>
      <c r="Y43" s="1935"/>
      <c r="Z43" s="1934"/>
      <c r="AA43" s="2110"/>
      <c r="AB43" s="1935"/>
      <c r="AC43" s="2093"/>
      <c r="AD43" s="2117"/>
      <c r="AE43" s="2118"/>
      <c r="AF43" s="2118"/>
      <c r="AG43" s="2130"/>
      <c r="AH43" s="2117"/>
      <c r="AI43" s="2118"/>
      <c r="AJ43" s="2118"/>
      <c r="AK43" s="2130"/>
      <c r="AL43" s="2117"/>
      <c r="AM43" s="2118"/>
      <c r="AN43" s="2118"/>
      <c r="AO43" s="2130"/>
      <c r="AP43" s="2117"/>
      <c r="AQ43" s="2118"/>
      <c r="AR43" s="2118"/>
      <c r="AS43" s="2130"/>
      <c r="AT43" s="1934"/>
      <c r="AU43" s="1935"/>
      <c r="AV43" s="1934"/>
      <c r="AW43" s="1935"/>
      <c r="AX43" s="1934"/>
      <c r="AY43" s="2110"/>
      <c r="AZ43" s="1935"/>
      <c r="BA43" s="2093"/>
      <c r="BB43" s="2096"/>
      <c r="BC43" s="1874"/>
    </row>
    <row r="44" spans="1:60" ht="14.25" customHeight="1">
      <c r="A44" s="1288"/>
      <c r="B44" s="1288" t="s">
        <v>140</v>
      </c>
      <c r="C44" s="1288" t="s">
        <v>141</v>
      </c>
      <c r="D44" s="1288" t="s">
        <v>142</v>
      </c>
      <c r="E44" s="1282" t="s">
        <v>497</v>
      </c>
      <c r="F44" s="1282" t="s">
        <v>498</v>
      </c>
      <c r="G44" s="1282" t="s">
        <v>499</v>
      </c>
      <c r="H44" s="1282" t="s">
        <v>500</v>
      </c>
      <c r="I44" s="1282" t="s">
        <v>501</v>
      </c>
      <c r="J44" s="1282" t="s">
        <v>502</v>
      </c>
      <c r="K44" s="1282" t="s">
        <v>503</v>
      </c>
      <c r="L44" s="1282" t="s">
        <v>478</v>
      </c>
      <c r="Q44" s="206"/>
      <c r="R44" s="300"/>
      <c r="S44" s="2088"/>
      <c r="T44" s="1959"/>
      <c r="U44" s="216"/>
      <c r="V44" s="1391" t="s">
        <v>551</v>
      </c>
      <c r="W44" s="1391" t="s">
        <v>552</v>
      </c>
      <c r="X44" s="1391" t="s">
        <v>551</v>
      </c>
      <c r="Y44" s="1391" t="s">
        <v>552</v>
      </c>
      <c r="Z44" s="1401" t="s">
        <v>506</v>
      </c>
      <c r="AA44" s="1965" t="s">
        <v>507</v>
      </c>
      <c r="AB44" s="1979"/>
      <c r="AC44" s="2094"/>
      <c r="AD44" s="2119"/>
      <c r="AE44" s="2120"/>
      <c r="AF44" s="2120"/>
      <c r="AG44" s="2121"/>
      <c r="AH44" s="2119"/>
      <c r="AI44" s="2120"/>
      <c r="AJ44" s="2120"/>
      <c r="AK44" s="2121"/>
      <c r="AL44" s="2119"/>
      <c r="AM44" s="2120"/>
      <c r="AN44" s="2120"/>
      <c r="AO44" s="2121"/>
      <c r="AP44" s="2119"/>
      <c r="AQ44" s="2120"/>
      <c r="AR44" s="2120"/>
      <c r="AS44" s="2121"/>
      <c r="AT44" s="1391" t="s">
        <v>551</v>
      </c>
      <c r="AU44" s="1391" t="s">
        <v>552</v>
      </c>
      <c r="AV44" s="1391" t="s">
        <v>551</v>
      </c>
      <c r="AW44" s="1391" t="s">
        <v>552</v>
      </c>
      <c r="AX44" s="1401" t="s">
        <v>506</v>
      </c>
      <c r="AY44" s="1965" t="s">
        <v>507</v>
      </c>
      <c r="AZ44" s="1979"/>
      <c r="BA44" s="2094"/>
      <c r="BB44" s="2097"/>
      <c r="BC44" s="1874"/>
    </row>
    <row r="45" spans="1:60" s="1558" customFormat="1" ht="0" hidden="1" customHeight="1">
      <c r="A45" s="1288"/>
      <c r="B45" s="1288"/>
      <c r="C45" s="1288"/>
      <c r="D45" s="1288"/>
      <c r="E45" s="1288"/>
      <c r="F45" s="1288"/>
      <c r="G45" s="1288"/>
      <c r="H45" s="1288"/>
      <c r="I45" s="1288"/>
      <c r="J45" s="1288"/>
      <c r="K45" s="1288"/>
      <c r="L45" s="1282"/>
      <c r="M45" s="1280"/>
      <c r="N45" s="1280"/>
      <c r="O45" s="1280"/>
      <c r="P45" s="436"/>
      <c r="Q45" s="1173"/>
      <c r="R45" s="1173">
        <v>1</v>
      </c>
      <c r="S45" s="1199" t="s">
        <v>109</v>
      </c>
      <c r="T45" s="1174" t="s">
        <v>110</v>
      </c>
      <c r="U45" s="1156" t="str">
        <f ca="1">OFFSET(U45,0,-1)</f>
        <v>2</v>
      </c>
      <c r="V45" s="1394">
        <f t="shared" ref="V45:AA45" ca="1" si="2">OFFSET(V45,0,-1)+1</f>
        <v>3</v>
      </c>
      <c r="W45" s="1394">
        <f t="shared" ca="1" si="2"/>
        <v>4</v>
      </c>
      <c r="X45" s="1394">
        <f t="shared" ca="1" si="2"/>
        <v>5</v>
      </c>
      <c r="Y45" s="1394">
        <f t="shared" ca="1" si="2"/>
        <v>6</v>
      </c>
      <c r="Z45" s="1394">
        <f t="shared" ca="1" si="2"/>
        <v>7</v>
      </c>
      <c r="AA45" s="2086">
        <f t="shared" ca="1" si="2"/>
        <v>8</v>
      </c>
      <c r="AB45" s="2086"/>
      <c r="AC45" s="1394">
        <f ca="1">OFFSET(AC45,0,-2)+1</f>
        <v>9</v>
      </c>
      <c r="AD45" s="1394">
        <f ca="1">OFFSET(AD45,0,-1)+1</f>
        <v>10</v>
      </c>
      <c r="AE45" s="1394"/>
      <c r="AF45" s="1394"/>
      <c r="AG45" s="1394"/>
      <c r="AH45" s="1394"/>
      <c r="AI45" s="1394"/>
      <c r="AJ45" s="1394"/>
      <c r="AK45" s="1394"/>
      <c r="AL45" s="1394"/>
      <c r="AM45" s="1394"/>
      <c r="AN45" s="1394"/>
      <c r="AO45" s="1394"/>
      <c r="AP45" s="1394"/>
      <c r="AQ45" s="1394"/>
      <c r="AR45" s="1394"/>
      <c r="AS45" s="1394"/>
      <c r="AT45" s="1394"/>
      <c r="AU45" s="1394"/>
      <c r="AV45" s="1394"/>
      <c r="AW45" s="1394">
        <f ca="1">OFFSET(AW45,0,-1)+1</f>
        <v>1</v>
      </c>
      <c r="AX45" s="1394">
        <f ca="1">OFFSET(AX45,0,-1)+1</f>
        <v>2</v>
      </c>
      <c r="AY45" s="2086">
        <f ca="1">OFFSET(AY45,0,-1)+1</f>
        <v>3</v>
      </c>
      <c r="AZ45" s="2086"/>
      <c r="BA45" s="1394">
        <f ca="1">OFFSET(BA45,0,-2)+1</f>
        <v>4</v>
      </c>
      <c r="BB45" s="1156">
        <f ca="1">OFFSET(BB45,0,-1)</f>
        <v>4</v>
      </c>
      <c r="BC45" s="1394">
        <f ca="1">OFFSET(BC45,0,-1)+1</f>
        <v>5</v>
      </c>
      <c r="BD45" s="437"/>
      <c r="BE45" s="437"/>
      <c r="BF45" s="437"/>
      <c r="BG45" s="437"/>
      <c r="BH45" s="437"/>
    </row>
    <row r="46" spans="1:60" ht="21" customHeight="1">
      <c r="A46" s="1281" t="s">
        <v>252</v>
      </c>
      <c r="B46" s="1281"/>
      <c r="C46" s="1281"/>
      <c r="D46" s="1281"/>
      <c r="E46" s="2076">
        <v>1</v>
      </c>
      <c r="F46" s="1281"/>
      <c r="G46" s="1281"/>
      <c r="H46" s="1281"/>
      <c r="I46" s="1281"/>
      <c r="J46" s="1281"/>
      <c r="K46" s="1281"/>
      <c r="L46" s="1282"/>
      <c r="M46" s="1283"/>
      <c r="N46" s="1283"/>
      <c r="O46" s="1283"/>
      <c r="P46" s="1327"/>
      <c r="Q46" s="786"/>
      <c r="R46" s="276"/>
      <c r="S46" s="1405">
        <f>INDEX(PT_DIFFERENTIATION_NUM_NTAR,MATCH(A46,PT_DIFFERENTIATION_NTAR_ID,0))</f>
        <v>0</v>
      </c>
      <c r="T46" s="212" t="s">
        <v>128</v>
      </c>
      <c r="U46" s="214"/>
      <c r="V46" s="2071"/>
      <c r="W46" s="2071"/>
      <c r="X46" s="2071"/>
      <c r="Y46" s="2071"/>
      <c r="Z46" s="2071"/>
      <c r="AA46" s="2071"/>
      <c r="AB46" s="2071"/>
      <c r="AC46" s="2072"/>
      <c r="AD46" s="2070" t="str">
        <f>INDEX(PT_DIFFERENTIATION_NTAR,MATCH(A46,PT_DIFFERENTIATION_NTAR_ID,0))</f>
        <v/>
      </c>
      <c r="AE46" s="2071"/>
      <c r="AF46" s="2071"/>
      <c r="AG46" s="2071"/>
      <c r="AH46" s="2071"/>
      <c r="AI46" s="2071"/>
      <c r="AJ46" s="2071"/>
      <c r="AK46" s="2071"/>
      <c r="AL46" s="2071"/>
      <c r="AM46" s="2071"/>
      <c r="AN46" s="2071"/>
      <c r="AO46" s="2071"/>
      <c r="AP46" s="2071"/>
      <c r="AQ46" s="2071"/>
      <c r="AR46" s="2071"/>
      <c r="AS46" s="2071"/>
      <c r="AT46" s="2071"/>
      <c r="AU46" s="2071"/>
      <c r="AV46" s="2071"/>
      <c r="AW46" s="2071"/>
      <c r="AX46" s="2071"/>
      <c r="AY46" s="2071"/>
      <c r="AZ46" s="2071"/>
      <c r="BA46" s="2071"/>
      <c r="BB46" s="2072"/>
      <c r="BC46" s="117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426"/>
      <c r="BF46" s="426" t="str">
        <f t="shared" ref="BF46:BF52" si="3">IF(T46="","",T46)</f>
        <v>Наименование тарифа</v>
      </c>
      <c r="BG46" s="426"/>
      <c r="BH46" s="426"/>
    </row>
    <row r="47" spans="1:60" ht="21" customHeight="1">
      <c r="A47" s="1281" t="s">
        <v>252</v>
      </c>
      <c r="B47" s="1281" t="s">
        <v>253</v>
      </c>
      <c r="C47" s="1281"/>
      <c r="D47" s="1281"/>
      <c r="E47" s="2077"/>
      <c r="F47" s="2076">
        <v>1</v>
      </c>
      <c r="G47" s="1281"/>
      <c r="H47" s="1281"/>
      <c r="I47" s="1281"/>
      <c r="J47" s="1281"/>
      <c r="K47" s="1281"/>
      <c r="L47" s="1282"/>
      <c r="M47" s="1283"/>
      <c r="N47" s="1283"/>
      <c r="O47" s="1283"/>
      <c r="P47" s="1328"/>
      <c r="Q47" s="1329"/>
      <c r="R47" s="274"/>
      <c r="S47" s="1405" t="str">
        <f>INDEX(PT_DIFFERENTIATION_NUM_TER,MATCH(B47,PT_DIFFERENTIATION_TER_ID,0))</f>
        <v>.</v>
      </c>
      <c r="T47" s="224" t="s">
        <v>460</v>
      </c>
      <c r="U47" s="214"/>
      <c r="V47" s="2071"/>
      <c r="W47" s="2071"/>
      <c r="X47" s="2071"/>
      <c r="Y47" s="2071"/>
      <c r="Z47" s="2071"/>
      <c r="AA47" s="2071"/>
      <c r="AB47" s="2071"/>
      <c r="AC47" s="2072"/>
      <c r="AD47" s="2070" t="str">
        <f>INDEX(PT_DIFFERENTIATION_TER,MATCH(B47,PT_DIFFERENTIATION_TER_ID,0))</f>
        <v/>
      </c>
      <c r="AE47" s="2071"/>
      <c r="AF47" s="2071"/>
      <c r="AG47" s="2071"/>
      <c r="AH47" s="2071"/>
      <c r="AI47" s="2071"/>
      <c r="AJ47" s="2071"/>
      <c r="AK47" s="2071"/>
      <c r="AL47" s="2071"/>
      <c r="AM47" s="2071"/>
      <c r="AN47" s="2071"/>
      <c r="AO47" s="2071"/>
      <c r="AP47" s="2071"/>
      <c r="AQ47" s="2071"/>
      <c r="AR47" s="2071"/>
      <c r="AS47" s="2071"/>
      <c r="AT47" s="2071"/>
      <c r="AU47" s="2071"/>
      <c r="AV47" s="2071"/>
      <c r="AW47" s="2071"/>
      <c r="AX47" s="2071"/>
      <c r="AY47" s="2071"/>
      <c r="AZ47" s="2071"/>
      <c r="BA47" s="2071"/>
      <c r="BB47" s="2072"/>
      <c r="BC47" s="1179" t="s">
        <v>461</v>
      </c>
      <c r="BE47" s="426"/>
      <c r="BF47" s="426" t="str">
        <f t="shared" si="3"/>
        <v>Территория действия тарифа</v>
      </c>
      <c r="BG47" s="426"/>
      <c r="BH47" s="426"/>
    </row>
    <row r="48" spans="1:60" ht="33.75" customHeight="1">
      <c r="A48" s="1281" t="s">
        <v>252</v>
      </c>
      <c r="B48" s="1281" t="s">
        <v>253</v>
      </c>
      <c r="C48" s="1281" t="s">
        <v>254</v>
      </c>
      <c r="D48" s="1281"/>
      <c r="E48" s="2077"/>
      <c r="F48" s="2077"/>
      <c r="G48" s="2076">
        <v>1</v>
      </c>
      <c r="H48" s="1281"/>
      <c r="I48" s="1281"/>
      <c r="J48" s="1281"/>
      <c r="K48" s="1281"/>
      <c r="L48" s="1282"/>
      <c r="M48" s="1283"/>
      <c r="N48" s="1283"/>
      <c r="O48" s="1283"/>
      <c r="P48" s="1330"/>
      <c r="Q48" s="1329"/>
      <c r="R48" s="274"/>
      <c r="S48" s="1405" t="str">
        <f>INDEX(PT_DIFFERENTIATION_NUM_CS,MATCH(C48,PT_DIFFERENTIATION_CS_ID,0))</f>
        <v>..</v>
      </c>
      <c r="T48" s="225" t="s">
        <v>2052</v>
      </c>
      <c r="U48" s="214"/>
      <c r="V48" s="2071"/>
      <c r="W48" s="2071"/>
      <c r="X48" s="2071"/>
      <c r="Y48" s="2071"/>
      <c r="Z48" s="2071"/>
      <c r="AA48" s="2071"/>
      <c r="AB48" s="2071"/>
      <c r="AC48" s="2072"/>
      <c r="AD48" s="2070" t="str">
        <f>INDEX(PT_DIFFERENTIATION_CS,MATCH(C48,PT_DIFFERENTIATION_CS_ID,0))</f>
        <v/>
      </c>
      <c r="AE48" s="2071"/>
      <c r="AF48" s="2071"/>
      <c r="AG48" s="2071"/>
      <c r="AH48" s="2071"/>
      <c r="AI48" s="2071"/>
      <c r="AJ48" s="2071"/>
      <c r="AK48" s="2071"/>
      <c r="AL48" s="2071"/>
      <c r="AM48" s="2071"/>
      <c r="AN48" s="2071"/>
      <c r="AO48" s="2071"/>
      <c r="AP48" s="2071"/>
      <c r="AQ48" s="2071"/>
      <c r="AR48" s="2071"/>
      <c r="AS48" s="2071"/>
      <c r="AT48" s="2071"/>
      <c r="AU48" s="2071"/>
      <c r="AV48" s="2071"/>
      <c r="AW48" s="2071"/>
      <c r="AX48" s="2071"/>
      <c r="AY48" s="2071"/>
      <c r="AZ48" s="2071"/>
      <c r="BA48" s="2071"/>
      <c r="BB48" s="2072"/>
      <c r="BC48" s="1179" t="s">
        <v>2053</v>
      </c>
      <c r="BE48" s="426"/>
      <c r="BF48" s="426" t="str">
        <f t="shared" si="3"/>
        <v>Наименование централизованной системы горячего водоснабжения</v>
      </c>
      <c r="BG48" s="426"/>
      <c r="BH48" s="426"/>
    </row>
    <row r="49" spans="1:60" s="1559" customFormat="1" ht="0" hidden="1" customHeight="1">
      <c r="A49" s="1262" t="s">
        <v>252</v>
      </c>
      <c r="B49" s="1262" t="s">
        <v>253</v>
      </c>
      <c r="C49" s="1262" t="s">
        <v>254</v>
      </c>
      <c r="D49" s="1262" t="s">
        <v>2062</v>
      </c>
      <c r="E49" s="2077"/>
      <c r="F49" s="2077"/>
      <c r="G49" s="2077"/>
      <c r="H49" s="2076">
        <v>1</v>
      </c>
      <c r="I49" s="1262"/>
      <c r="J49" s="1262"/>
      <c r="K49" s="1262"/>
      <c r="L49" s="1265"/>
      <c r="M49" s="1235"/>
      <c r="N49" s="1235"/>
      <c r="O49" s="1235"/>
      <c r="P49" s="1409"/>
      <c r="Q49" s="1410"/>
      <c r="R49" s="278"/>
      <c r="S49" s="950"/>
      <c r="T49" s="1411"/>
      <c r="U49" s="1302"/>
      <c r="V49" s="2106"/>
      <c r="W49" s="2106"/>
      <c r="X49" s="2106"/>
      <c r="Y49" s="2106"/>
      <c r="Z49" s="2106"/>
      <c r="AA49" s="2106"/>
      <c r="AB49" s="2106"/>
      <c r="AC49" s="2107"/>
      <c r="AD49" s="2105"/>
      <c r="AE49" s="2106"/>
      <c r="AF49" s="2106"/>
      <c r="AG49" s="2106"/>
      <c r="AH49" s="2106"/>
      <c r="AI49" s="2106"/>
      <c r="AJ49" s="2106"/>
      <c r="AK49" s="2106"/>
      <c r="AL49" s="2106"/>
      <c r="AM49" s="2106"/>
      <c r="AN49" s="2106"/>
      <c r="AO49" s="2106"/>
      <c r="AP49" s="2106"/>
      <c r="AQ49" s="2106"/>
      <c r="AR49" s="2106"/>
      <c r="AS49" s="2106"/>
      <c r="AT49" s="2106"/>
      <c r="AU49" s="2106"/>
      <c r="AV49" s="2106"/>
      <c r="AW49" s="2106"/>
      <c r="AX49" s="2106"/>
      <c r="AY49" s="2106"/>
      <c r="AZ49" s="2106"/>
      <c r="BA49" s="2106"/>
      <c r="BB49" s="2107"/>
      <c r="BC49" s="1303" t="s">
        <v>465</v>
      </c>
      <c r="BE49" s="426"/>
      <c r="BF49" s="426" t="str">
        <f t="shared" si="3"/>
        <v/>
      </c>
      <c r="BG49" s="426"/>
      <c r="BH49" s="426"/>
    </row>
    <row r="50" spans="1:60" s="1559" customFormat="1" ht="0" hidden="1" customHeight="1">
      <c r="A50" s="1262" t="s">
        <v>252</v>
      </c>
      <c r="B50" s="1262" t="s">
        <v>253</v>
      </c>
      <c r="C50" s="1262" t="s">
        <v>254</v>
      </c>
      <c r="D50" s="1262" t="s">
        <v>2062</v>
      </c>
      <c r="E50" s="2077"/>
      <c r="F50" s="2077"/>
      <c r="G50" s="2077"/>
      <c r="H50" s="2077"/>
      <c r="I50" s="2078" t="str">
        <f>S49&amp;".1"</f>
        <v>.1</v>
      </c>
      <c r="J50" s="1262"/>
      <c r="K50" s="1262"/>
      <c r="L50" s="1265" t="s">
        <v>466</v>
      </c>
      <c r="M50" s="436"/>
      <c r="N50" s="436"/>
      <c r="O50" s="436"/>
      <c r="P50" s="1995">
        <v>1</v>
      </c>
      <c r="Q50" s="1393"/>
      <c r="R50" s="277"/>
      <c r="S50" s="950"/>
      <c r="T50" s="1301"/>
      <c r="U50" s="1302"/>
      <c r="V50" s="2106"/>
      <c r="W50" s="2106"/>
      <c r="X50" s="2106"/>
      <c r="Y50" s="2106"/>
      <c r="Z50" s="2106"/>
      <c r="AA50" s="2106"/>
      <c r="AB50" s="2106"/>
      <c r="AC50" s="2107"/>
      <c r="AD50" s="2105"/>
      <c r="AE50" s="2106"/>
      <c r="AF50" s="2106"/>
      <c r="AG50" s="2106"/>
      <c r="AH50" s="2106"/>
      <c r="AI50" s="2106"/>
      <c r="AJ50" s="2106"/>
      <c r="AK50" s="2106"/>
      <c r="AL50" s="2106"/>
      <c r="AM50" s="2106"/>
      <c r="AN50" s="2106"/>
      <c r="AO50" s="2106"/>
      <c r="AP50" s="2106"/>
      <c r="AQ50" s="2106"/>
      <c r="AR50" s="2106"/>
      <c r="AS50" s="2106"/>
      <c r="AT50" s="2106"/>
      <c r="AU50" s="2106"/>
      <c r="AV50" s="2106"/>
      <c r="AW50" s="2106"/>
      <c r="AX50" s="2106"/>
      <c r="AY50" s="2106"/>
      <c r="AZ50" s="2106"/>
      <c r="BA50" s="2106"/>
      <c r="BB50" s="2107"/>
      <c r="BC50" s="1303"/>
      <c r="BE50" s="426"/>
      <c r="BF50" s="426" t="str">
        <f t="shared" si="3"/>
        <v/>
      </c>
      <c r="BG50" s="426"/>
      <c r="BH50" s="426"/>
    </row>
    <row r="51" spans="1:60" s="1559" customFormat="1" ht="0" hidden="1" customHeight="1">
      <c r="A51" s="1262" t="s">
        <v>252</v>
      </c>
      <c r="B51" s="1262" t="s">
        <v>253</v>
      </c>
      <c r="C51" s="1262" t="s">
        <v>254</v>
      </c>
      <c r="D51" s="1262" t="s">
        <v>2062</v>
      </c>
      <c r="E51" s="2077"/>
      <c r="F51" s="2077"/>
      <c r="G51" s="2077"/>
      <c r="H51" s="2077"/>
      <c r="I51" s="2079"/>
      <c r="J51" s="2078" t="str">
        <f>S49&amp;".1"</f>
        <v>.1</v>
      </c>
      <c r="K51" s="1262"/>
      <c r="L51" s="1265"/>
      <c r="M51" s="436"/>
      <c r="N51" s="436"/>
      <c r="O51" s="436"/>
      <c r="P51" s="1995"/>
      <c r="Q51" s="1995">
        <v>1</v>
      </c>
      <c r="R51" s="278"/>
      <c r="S51" s="950"/>
      <c r="T51" s="1317"/>
      <c r="U51" s="1302"/>
      <c r="V51" s="2106"/>
      <c r="W51" s="2106"/>
      <c r="X51" s="2106"/>
      <c r="Y51" s="2106"/>
      <c r="Z51" s="2106"/>
      <c r="AA51" s="2106"/>
      <c r="AB51" s="2106"/>
      <c r="AC51" s="2107"/>
      <c r="AD51" s="2105"/>
      <c r="AE51" s="2106"/>
      <c r="AF51" s="2106"/>
      <c r="AG51" s="2106"/>
      <c r="AH51" s="2106"/>
      <c r="AI51" s="2106"/>
      <c r="AJ51" s="2106"/>
      <c r="AK51" s="2106"/>
      <c r="AL51" s="2106"/>
      <c r="AM51" s="2106"/>
      <c r="AN51" s="2191"/>
      <c r="AO51" s="2191"/>
      <c r="AP51" s="2106"/>
      <c r="AQ51" s="2106"/>
      <c r="AR51" s="2106"/>
      <c r="AS51" s="2106"/>
      <c r="AT51" s="2106"/>
      <c r="AU51" s="2106"/>
      <c r="AV51" s="2106"/>
      <c r="AW51" s="2106"/>
      <c r="AX51" s="2106"/>
      <c r="AY51" s="2106"/>
      <c r="AZ51" s="2106"/>
      <c r="BA51" s="2106"/>
      <c r="BB51" s="2107"/>
      <c r="BC51" s="1303"/>
      <c r="BE51" s="426"/>
      <c r="BF51" s="426" t="str">
        <f t="shared" si="3"/>
        <v/>
      </c>
      <c r="BG51" s="426"/>
      <c r="BH51" s="426"/>
    </row>
    <row r="52" spans="1:60" ht="11.25" customHeight="1">
      <c r="A52" s="1281" t="s">
        <v>252</v>
      </c>
      <c r="B52" s="1281" t="s">
        <v>253</v>
      </c>
      <c r="C52" s="1281" t="s">
        <v>254</v>
      </c>
      <c r="D52" s="1281" t="s">
        <v>2062</v>
      </c>
      <c r="E52" s="2077"/>
      <c r="F52" s="2077"/>
      <c r="G52" s="2077"/>
      <c r="H52" s="2077"/>
      <c r="I52" s="2079"/>
      <c r="J52" s="2079"/>
      <c r="K52" s="2078" t="str">
        <f>S48&amp;".1"</f>
        <v>...1</v>
      </c>
      <c r="L52" s="1282"/>
      <c r="P52" s="1995"/>
      <c r="Q52" s="1995"/>
      <c r="R52" s="278">
        <v>1</v>
      </c>
      <c r="S52" s="2126" t="str">
        <f>$K52</f>
        <v>...1</v>
      </c>
      <c r="T52" s="2185"/>
      <c r="U52" s="214"/>
      <c r="V52" s="664"/>
      <c r="W52" s="1178"/>
      <c r="X52" s="664"/>
      <c r="Y52" s="1178"/>
      <c r="Z52" s="1650"/>
      <c r="AA52" s="1382" t="s">
        <v>59</v>
      </c>
      <c r="AB52" s="1650"/>
      <c r="AC52" s="1382" t="s">
        <v>59</v>
      </c>
      <c r="AD52" s="1941" t="s">
        <v>59</v>
      </c>
      <c r="AE52" s="2122"/>
      <c r="AF52" s="1954">
        <v>1</v>
      </c>
      <c r="AG52" s="2184"/>
      <c r="AH52" s="1885" t="s">
        <v>59</v>
      </c>
      <c r="AI52" s="2122"/>
      <c r="AJ52" s="1954">
        <v>1</v>
      </c>
      <c r="AK52" s="2183" t="s">
        <v>18</v>
      </c>
      <c r="AL52" s="1885" t="s">
        <v>59</v>
      </c>
      <c r="AM52" s="1929"/>
      <c r="AN52" s="1954">
        <v>1</v>
      </c>
      <c r="AO52" s="2188"/>
      <c r="AP52" s="2189" t="s">
        <v>59</v>
      </c>
      <c r="AQ52" s="227"/>
      <c r="AR52" s="1398">
        <v>1</v>
      </c>
      <c r="AS52" s="1404" t="s">
        <v>18</v>
      </c>
      <c r="AT52" s="664"/>
      <c r="AU52" s="1178"/>
      <c r="AV52" s="664"/>
      <c r="AW52" s="1178"/>
      <c r="AX52" s="1650"/>
      <c r="AY52" s="1382" t="s">
        <v>59</v>
      </c>
      <c r="AZ52" s="1650"/>
      <c r="BA52" s="1382" t="s">
        <v>59</v>
      </c>
      <c r="BB52" s="1267"/>
      <c r="BC52" s="2098" t="s">
        <v>1696</v>
      </c>
      <c r="BE52" s="426"/>
      <c r="BF52" s="426" t="str">
        <f t="shared" si="3"/>
        <v/>
      </c>
      <c r="BG52" s="426"/>
      <c r="BH52" s="426"/>
    </row>
    <row r="53" spans="1:60" ht="11.25" customHeight="1">
      <c r="A53" s="1281"/>
      <c r="B53" s="1281"/>
      <c r="C53" s="1281"/>
      <c r="D53" s="1281"/>
      <c r="E53" s="2077"/>
      <c r="F53" s="2077"/>
      <c r="G53" s="2077"/>
      <c r="H53" s="2077"/>
      <c r="I53" s="2079"/>
      <c r="J53" s="2079"/>
      <c r="K53" s="2078"/>
      <c r="L53" s="1282"/>
      <c r="P53" s="1995"/>
      <c r="Q53" s="1995"/>
      <c r="R53" s="278"/>
      <c r="S53" s="2127"/>
      <c r="T53" s="2186"/>
      <c r="U53" s="214"/>
      <c r="V53" s="1311"/>
      <c r="W53" s="1408"/>
      <c r="X53" s="1311"/>
      <c r="Y53" s="1408"/>
      <c r="Z53" s="1311"/>
      <c r="AA53" s="1311"/>
      <c r="AB53" s="1311"/>
      <c r="AC53" s="1311"/>
      <c r="AD53" s="1942"/>
      <c r="AE53" s="2122"/>
      <c r="AF53" s="1954"/>
      <c r="AG53" s="2184"/>
      <c r="AH53" s="1885"/>
      <c r="AI53" s="2122"/>
      <c r="AJ53" s="1954"/>
      <c r="AK53" s="2183"/>
      <c r="AL53" s="1885"/>
      <c r="AM53" s="1934"/>
      <c r="AN53" s="1954"/>
      <c r="AO53" s="2188"/>
      <c r="AP53" s="2190"/>
      <c r="AQ53" s="234"/>
      <c r="AR53" s="346"/>
      <c r="AS53" s="346" t="s">
        <v>1697</v>
      </c>
      <c r="AT53" s="1311"/>
      <c r="AU53" s="1408"/>
      <c r="AV53" s="1311"/>
      <c r="AW53" s="1408"/>
      <c r="AX53" s="1311"/>
      <c r="AY53" s="1311"/>
      <c r="AZ53" s="1311"/>
      <c r="BA53" s="1311"/>
      <c r="BB53" s="1315"/>
      <c r="BC53" s="2099"/>
      <c r="BE53" s="426"/>
      <c r="BF53" s="426"/>
      <c r="BG53" s="426"/>
      <c r="BH53" s="426"/>
    </row>
    <row r="54" spans="1:60" ht="11.25" customHeight="1">
      <c r="A54" s="1281" t="s">
        <v>252</v>
      </c>
      <c r="B54" s="1281"/>
      <c r="C54" s="1281"/>
      <c r="D54" s="1281"/>
      <c r="E54" s="2077"/>
      <c r="F54" s="2077"/>
      <c r="G54" s="2077"/>
      <c r="H54" s="2077"/>
      <c r="I54" s="2079"/>
      <c r="J54" s="2079"/>
      <c r="K54" s="2078"/>
      <c r="L54" s="1282"/>
      <c r="P54" s="1995"/>
      <c r="Q54" s="1995"/>
      <c r="R54" s="278"/>
      <c r="S54" s="2127"/>
      <c r="T54" s="2186"/>
      <c r="U54" s="214"/>
      <c r="V54" s="1311"/>
      <c r="W54" s="1408"/>
      <c r="X54" s="1311"/>
      <c r="Y54" s="1408"/>
      <c r="Z54" s="1311"/>
      <c r="AA54" s="1311"/>
      <c r="AB54" s="1311"/>
      <c r="AC54" s="1311"/>
      <c r="AD54" s="1942"/>
      <c r="AE54" s="2122"/>
      <c r="AF54" s="1954"/>
      <c r="AG54" s="2184"/>
      <c r="AH54" s="1885"/>
      <c r="AI54" s="2122"/>
      <c r="AJ54" s="1954"/>
      <c r="AK54" s="2183"/>
      <c r="AL54" s="1885"/>
      <c r="AM54" s="234"/>
      <c r="AN54" s="1412"/>
      <c r="AO54" s="1412" t="s">
        <v>1698</v>
      </c>
      <c r="AP54" s="346"/>
      <c r="AQ54" s="346"/>
      <c r="AR54" s="346"/>
      <c r="AS54" s="1311"/>
      <c r="AT54" s="1311"/>
      <c r="AU54" s="1408"/>
      <c r="AV54" s="1311"/>
      <c r="AW54" s="1408"/>
      <c r="AX54" s="1311"/>
      <c r="AY54" s="1311"/>
      <c r="AZ54" s="1311"/>
      <c r="BA54" s="1311"/>
      <c r="BB54" s="1315"/>
      <c r="BC54" s="2099"/>
      <c r="BE54" s="426"/>
      <c r="BF54" s="426"/>
      <c r="BG54" s="426"/>
      <c r="BH54" s="426"/>
    </row>
    <row r="55" spans="1:60" ht="11.25" customHeight="1">
      <c r="A55" s="1281" t="s">
        <v>252</v>
      </c>
      <c r="B55" s="1281"/>
      <c r="C55" s="1281"/>
      <c r="D55" s="1281"/>
      <c r="E55" s="2077"/>
      <c r="F55" s="2077"/>
      <c r="G55" s="2077"/>
      <c r="H55" s="2077"/>
      <c r="I55" s="2079"/>
      <c r="J55" s="2079"/>
      <c r="K55" s="2078"/>
      <c r="L55" s="1282"/>
      <c r="P55" s="1995"/>
      <c r="Q55" s="1995"/>
      <c r="R55" s="278"/>
      <c r="S55" s="2127"/>
      <c r="T55" s="2186"/>
      <c r="U55" s="214"/>
      <c r="V55" s="1311"/>
      <c r="W55" s="1408"/>
      <c r="X55" s="1311"/>
      <c r="Y55" s="1408"/>
      <c r="Z55" s="1311"/>
      <c r="AA55" s="1311"/>
      <c r="AB55" s="1311"/>
      <c r="AC55" s="1311"/>
      <c r="AD55" s="1942"/>
      <c r="AE55" s="2122"/>
      <c r="AF55" s="1954"/>
      <c r="AG55" s="2184"/>
      <c r="AH55" s="1885"/>
      <c r="AI55" s="208"/>
      <c r="AJ55" s="345"/>
      <c r="AK55" s="229" t="s">
        <v>1699</v>
      </c>
      <c r="AL55" s="1311"/>
      <c r="AM55" s="1311"/>
      <c r="AN55" s="1311"/>
      <c r="AO55" s="1311"/>
      <c r="AP55" s="1311"/>
      <c r="AQ55" s="1311"/>
      <c r="AR55" s="1311"/>
      <c r="AS55" s="1311"/>
      <c r="AT55" s="1311"/>
      <c r="AU55" s="1408"/>
      <c r="AV55" s="1311"/>
      <c r="AW55" s="1408"/>
      <c r="AX55" s="1311"/>
      <c r="AY55" s="1311"/>
      <c r="AZ55" s="1311"/>
      <c r="BA55" s="1311"/>
      <c r="BB55" s="1315"/>
      <c r="BC55" s="2099"/>
      <c r="BE55" s="426"/>
      <c r="BF55" s="426"/>
      <c r="BG55" s="426"/>
      <c r="BH55" s="426"/>
    </row>
    <row r="56" spans="1:60" ht="11.25" customHeight="1">
      <c r="A56" s="1281" t="s">
        <v>252</v>
      </c>
      <c r="B56" s="1281" t="s">
        <v>253</v>
      </c>
      <c r="C56" s="1281" t="s">
        <v>254</v>
      </c>
      <c r="D56" s="1281" t="s">
        <v>2062</v>
      </c>
      <c r="E56" s="2077"/>
      <c r="F56" s="2077"/>
      <c r="G56" s="2077"/>
      <c r="H56" s="2077"/>
      <c r="I56" s="2079"/>
      <c r="J56" s="2079"/>
      <c r="K56" s="2078"/>
      <c r="L56" s="1282"/>
      <c r="P56" s="1995"/>
      <c r="Q56" s="1995"/>
      <c r="R56" s="278"/>
      <c r="S56" s="2128"/>
      <c r="T56" s="2187"/>
      <c r="U56" s="214"/>
      <c r="V56" s="1311"/>
      <c r="W56" s="1312" t="str">
        <f>Z52&amp;"-"&amp;AB52</f>
        <v>-</v>
      </c>
      <c r="X56" s="1311"/>
      <c r="Y56" s="1312" t="str">
        <f>AB52&amp;"-"&amp;AD52</f>
        <v>-да</v>
      </c>
      <c r="Z56" s="1311"/>
      <c r="AA56" s="1311"/>
      <c r="AB56" s="1311"/>
      <c r="AC56" s="1311"/>
      <c r="AD56" s="1890"/>
      <c r="AE56" s="228"/>
      <c r="AF56" s="230"/>
      <c r="AG56" s="346" t="s">
        <v>1700</v>
      </c>
      <c r="AH56" s="1311"/>
      <c r="AI56" s="1311"/>
      <c r="AJ56" s="1311"/>
      <c r="AK56" s="1311"/>
      <c r="AL56" s="1311"/>
      <c r="AM56" s="1311"/>
      <c r="AN56" s="1311"/>
      <c r="AO56" s="1311"/>
      <c r="AP56" s="1311"/>
      <c r="AQ56" s="1311"/>
      <c r="AR56" s="1311"/>
      <c r="AS56" s="1311"/>
      <c r="AT56" s="1311"/>
      <c r="AU56" s="1312" t="str">
        <f>AX52&amp;"-"&amp;AZ52</f>
        <v>-</v>
      </c>
      <c r="AV56" s="1311"/>
      <c r="AW56" s="1312" t="str">
        <f>AZ52&amp;"-"&amp;BB52</f>
        <v>-</v>
      </c>
      <c r="AX56" s="1311"/>
      <c r="AY56" s="1311"/>
      <c r="AZ56" s="1311"/>
      <c r="BA56" s="1311"/>
      <c r="BB56" s="1314" t="str">
        <f>BE52&amp;"-"&amp;BG52</f>
        <v>-</v>
      </c>
      <c r="BC56" s="2099"/>
      <c r="BE56" s="426"/>
      <c r="BF56" s="426" t="str">
        <f t="shared" ref="BF56:BF63" si="4">IF(T56="","",T56)</f>
        <v/>
      </c>
      <c r="BG56" s="426"/>
      <c r="BH56" s="426"/>
    </row>
    <row r="57" spans="1:60" ht="11.25" customHeight="1">
      <c r="A57" s="1281" t="s">
        <v>252</v>
      </c>
      <c r="B57" s="1281" t="s">
        <v>253</v>
      </c>
      <c r="C57" s="1281" t="s">
        <v>254</v>
      </c>
      <c r="D57" s="1281" t="s">
        <v>2062</v>
      </c>
      <c r="E57" s="2077"/>
      <c r="F57" s="2077"/>
      <c r="G57" s="2077"/>
      <c r="H57" s="2077"/>
      <c r="I57" s="2079"/>
      <c r="J57" s="2078"/>
      <c r="K57" s="1281"/>
      <c r="L57" s="1282"/>
      <c r="P57" s="1995"/>
      <c r="Q57" s="1995"/>
      <c r="R57" s="277"/>
      <c r="S57" s="1200"/>
      <c r="T57" s="202" t="s">
        <v>540</v>
      </c>
      <c r="U57" s="291"/>
      <c r="V57" s="291"/>
      <c r="W57" s="291"/>
      <c r="X57" s="291"/>
      <c r="Y57" s="291"/>
      <c r="Z57" s="291"/>
      <c r="AA57" s="291"/>
      <c r="AB57" s="291"/>
      <c r="AC57" s="245"/>
      <c r="AD57" s="1417"/>
      <c r="AE57" s="291"/>
      <c r="AF57" s="291"/>
      <c r="AG57" s="291"/>
      <c r="AH57" s="291"/>
      <c r="AI57" s="291"/>
      <c r="AJ57" s="291"/>
      <c r="AK57" s="291"/>
      <c r="AL57" s="291"/>
      <c r="AM57" s="291"/>
      <c r="AN57" s="291"/>
      <c r="AO57" s="291"/>
      <c r="AP57" s="291"/>
      <c r="AQ57" s="291"/>
      <c r="AR57" s="291"/>
      <c r="AS57" s="291"/>
      <c r="AT57" s="291"/>
      <c r="AU57" s="291"/>
      <c r="AV57" s="291"/>
      <c r="AW57" s="291"/>
      <c r="AX57" s="291"/>
      <c r="AY57" s="291"/>
      <c r="AZ57" s="291"/>
      <c r="BA57" s="291"/>
      <c r="BB57" s="245"/>
      <c r="BC57" s="2100"/>
      <c r="BE57" s="426"/>
      <c r="BF57" s="426" t="str">
        <f t="shared" si="4"/>
        <v>Добавить строку</v>
      </c>
      <c r="BG57" s="426"/>
      <c r="BH57" s="426"/>
    </row>
    <row r="58" spans="1:60" s="1559" customFormat="1" ht="0" hidden="1" customHeight="1">
      <c r="A58" s="1262" t="s">
        <v>252</v>
      </c>
      <c r="B58" s="1262" t="s">
        <v>253</v>
      </c>
      <c r="C58" s="1262" t="s">
        <v>254</v>
      </c>
      <c r="D58" s="1262" t="s">
        <v>2062</v>
      </c>
      <c r="E58" s="2077"/>
      <c r="F58" s="2077"/>
      <c r="G58" s="2077"/>
      <c r="H58" s="2077"/>
      <c r="I58" s="2078"/>
      <c r="J58" s="1262"/>
      <c r="K58" s="1262"/>
      <c r="L58" s="1265"/>
      <c r="M58" s="436"/>
      <c r="N58" s="436"/>
      <c r="O58" s="436"/>
      <c r="P58" s="1995"/>
      <c r="Q58" s="1393"/>
      <c r="R58" s="277"/>
      <c r="S58" s="1304"/>
      <c r="T58" s="1305"/>
      <c r="U58" s="1306"/>
      <c r="V58" s="1306"/>
      <c r="W58" s="1306"/>
      <c r="X58" s="1306"/>
      <c r="Y58" s="1306"/>
      <c r="Z58" s="1306"/>
      <c r="AA58" s="1306"/>
      <c r="AB58" s="1306"/>
      <c r="AC58" s="1306"/>
      <c r="AD58" s="1306"/>
      <c r="AE58" s="1306"/>
      <c r="AF58" s="1306"/>
      <c r="AG58" s="1306"/>
      <c r="AH58" s="1306"/>
      <c r="AI58" s="1306"/>
      <c r="AJ58" s="1306"/>
      <c r="AK58" s="1306"/>
      <c r="AL58" s="1306"/>
      <c r="AM58" s="1306"/>
      <c r="AN58" s="1306"/>
      <c r="AO58" s="1306"/>
      <c r="AP58" s="1306"/>
      <c r="AQ58" s="1306"/>
      <c r="AR58" s="1306"/>
      <c r="AS58" s="1306"/>
      <c r="AT58" s="1306"/>
      <c r="AU58" s="1306"/>
      <c r="AV58" s="1306"/>
      <c r="AW58" s="1306"/>
      <c r="AX58" s="1306"/>
      <c r="AY58" s="1306"/>
      <c r="AZ58" s="1306"/>
      <c r="BA58" s="1306"/>
      <c r="BB58" s="1306"/>
      <c r="BC58" s="1307"/>
      <c r="BE58" s="426"/>
      <c r="BF58" s="426" t="str">
        <f t="shared" si="4"/>
        <v/>
      </c>
      <c r="BG58" s="426"/>
      <c r="BH58" s="426"/>
    </row>
    <row r="59" spans="1:60" s="1559" customFormat="1" ht="0" hidden="1" customHeight="1">
      <c r="A59" s="1262" t="s">
        <v>252</v>
      </c>
      <c r="B59" s="1262" t="s">
        <v>253</v>
      </c>
      <c r="C59" s="1262" t="s">
        <v>254</v>
      </c>
      <c r="D59" s="1262" t="s">
        <v>2062</v>
      </c>
      <c r="E59" s="2077"/>
      <c r="F59" s="2077"/>
      <c r="G59" s="2077"/>
      <c r="H59" s="2076"/>
      <c r="I59" s="1262"/>
      <c r="J59" s="1262"/>
      <c r="K59" s="1262"/>
      <c r="L59" s="1265"/>
      <c r="M59" s="1235"/>
      <c r="N59" s="1235"/>
      <c r="O59" s="444"/>
      <c r="P59" s="308"/>
      <c r="Q59" s="1263"/>
      <c r="R59" s="1319"/>
      <c r="S59" s="1304"/>
      <c r="T59" s="1305"/>
      <c r="U59" s="1306"/>
      <c r="V59" s="1306"/>
      <c r="W59" s="1306"/>
      <c r="X59" s="1306"/>
      <c r="Y59" s="1306"/>
      <c r="Z59" s="1306"/>
      <c r="AA59" s="1306"/>
      <c r="AB59" s="1306"/>
      <c r="AC59" s="1306"/>
      <c r="AD59" s="1306"/>
      <c r="AE59" s="1306"/>
      <c r="AF59" s="1306"/>
      <c r="AG59" s="1306"/>
      <c r="AH59" s="1306"/>
      <c r="AI59" s="1306"/>
      <c r="AJ59" s="1306"/>
      <c r="AK59" s="1306"/>
      <c r="AL59" s="1306"/>
      <c r="AM59" s="1306"/>
      <c r="AN59" s="1306"/>
      <c r="AO59" s="1306"/>
      <c r="AP59" s="1306"/>
      <c r="AQ59" s="1306"/>
      <c r="AR59" s="1306"/>
      <c r="AS59" s="1306"/>
      <c r="AT59" s="1306"/>
      <c r="AU59" s="1306"/>
      <c r="AV59" s="1306"/>
      <c r="AW59" s="1306"/>
      <c r="AX59" s="1306"/>
      <c r="AY59" s="1306"/>
      <c r="AZ59" s="1306"/>
      <c r="BA59" s="1306"/>
      <c r="BB59" s="1306"/>
      <c r="BC59" s="1307"/>
      <c r="BE59" s="426"/>
      <c r="BF59" s="426" t="str">
        <f t="shared" si="4"/>
        <v/>
      </c>
      <c r="BG59" s="426"/>
      <c r="BH59" s="426"/>
    </row>
    <row r="60" spans="1:60" s="1559" customFormat="1" ht="0" hidden="1" customHeight="1">
      <c r="A60" s="1262" t="s">
        <v>252</v>
      </c>
      <c r="B60" s="1262" t="s">
        <v>253</v>
      </c>
      <c r="C60" s="1262" t="s">
        <v>254</v>
      </c>
      <c r="D60" s="1234"/>
      <c r="E60" s="2077"/>
      <c r="F60" s="2077"/>
      <c r="G60" s="2076"/>
      <c r="H60" s="1234"/>
      <c r="I60" s="1234"/>
      <c r="J60" s="1234"/>
      <c r="K60" s="1234"/>
      <c r="L60" s="1406"/>
      <c r="M60" s="1235"/>
      <c r="N60" s="1235"/>
      <c r="P60" s="1236"/>
      <c r="Q60" s="1237"/>
      <c r="R60" s="1236"/>
      <c r="S60" s="1242"/>
      <c r="T60" s="1245"/>
      <c r="U60" s="1244"/>
      <c r="V60" s="1244"/>
      <c r="W60" s="1244"/>
      <c r="X60" s="1244"/>
      <c r="Y60" s="1244"/>
      <c r="Z60" s="1244"/>
      <c r="AA60" s="1244"/>
      <c r="AB60" s="1244"/>
      <c r="AC60" s="1244"/>
      <c r="AD60" s="1244"/>
      <c r="AE60" s="1244"/>
      <c r="AF60" s="1244"/>
      <c r="AG60" s="1244"/>
      <c r="AH60" s="1244"/>
      <c r="AI60" s="1244"/>
      <c r="AJ60" s="1244"/>
      <c r="AK60" s="1244"/>
      <c r="AL60" s="1244"/>
      <c r="AM60" s="1244"/>
      <c r="AN60" s="1244"/>
      <c r="AO60" s="1244"/>
      <c r="AP60" s="1244"/>
      <c r="AQ60" s="1244"/>
      <c r="AR60" s="1244"/>
      <c r="AS60" s="1244"/>
      <c r="AT60" s="1244"/>
      <c r="AU60" s="1244"/>
      <c r="AV60" s="1244"/>
      <c r="AW60" s="1244"/>
      <c r="AX60" s="1244"/>
      <c r="AY60" s="1244"/>
      <c r="AZ60" s="1244"/>
      <c r="BA60" s="1244"/>
      <c r="BB60" s="1244"/>
      <c r="BC60" s="1244"/>
      <c r="BE60" s="702"/>
      <c r="BF60" s="702" t="str">
        <f t="shared" si="4"/>
        <v/>
      </c>
      <c r="BG60" s="702"/>
      <c r="BH60" s="702"/>
    </row>
    <row r="61" spans="1:60" s="1559" customFormat="1" ht="0" hidden="1" customHeight="1">
      <c r="A61" s="1262" t="s">
        <v>252</v>
      </c>
      <c r="B61" s="1262" t="s">
        <v>253</v>
      </c>
      <c r="C61" s="1234"/>
      <c r="D61" s="1234"/>
      <c r="E61" s="2077"/>
      <c r="F61" s="2076"/>
      <c r="G61" s="1234"/>
      <c r="H61" s="1234"/>
      <c r="I61" s="1234"/>
      <c r="J61" s="1234"/>
      <c r="K61" s="1234"/>
      <c r="L61" s="1406"/>
      <c r="M61" s="1241"/>
      <c r="N61" s="1241"/>
      <c r="P61" s="1236"/>
      <c r="Q61" s="1237"/>
      <c r="R61" s="1236"/>
      <c r="S61" s="1242"/>
      <c r="T61" s="1245" t="s">
        <v>434</v>
      </c>
      <c r="U61" s="1244"/>
      <c r="V61" s="1244"/>
      <c r="W61" s="1244"/>
      <c r="X61" s="1244"/>
      <c r="Y61" s="1244"/>
      <c r="Z61" s="1244"/>
      <c r="AA61" s="1244"/>
      <c r="AB61" s="1244"/>
      <c r="AC61" s="1244"/>
      <c r="AD61" s="1244"/>
      <c r="AE61" s="1244"/>
      <c r="AF61" s="1244"/>
      <c r="AG61" s="1244"/>
      <c r="AH61" s="1244"/>
      <c r="AI61" s="1244"/>
      <c r="AJ61" s="1244"/>
      <c r="AK61" s="1244"/>
      <c r="AL61" s="1244"/>
      <c r="AM61" s="1244"/>
      <c r="AN61" s="1244"/>
      <c r="AO61" s="1244"/>
      <c r="AP61" s="1244"/>
      <c r="AQ61" s="1244"/>
      <c r="AR61" s="1244"/>
      <c r="AS61" s="1244"/>
      <c r="AT61" s="1244"/>
      <c r="AU61" s="1244"/>
      <c r="AV61" s="1244"/>
      <c r="AW61" s="1244"/>
      <c r="AX61" s="1244"/>
      <c r="AY61" s="1244"/>
      <c r="AZ61" s="1244"/>
      <c r="BA61" s="1244"/>
      <c r="BB61" s="1244"/>
      <c r="BC61" s="1244"/>
      <c r="BE61" s="702"/>
      <c r="BF61" s="702" t="str">
        <f t="shared" si="4"/>
        <v>Добавить централизованную систему для дифференциации</v>
      </c>
      <c r="BG61" s="702"/>
      <c r="BH61" s="702"/>
    </row>
    <row r="62" spans="1:60" s="1559" customFormat="1" ht="0" hidden="1" customHeight="1">
      <c r="A62" s="1262" t="s">
        <v>252</v>
      </c>
      <c r="B62" s="1262"/>
      <c r="C62" s="1262"/>
      <c r="D62" s="1262"/>
      <c r="E62" s="2076"/>
      <c r="F62" s="1262"/>
      <c r="G62" s="1262"/>
      <c r="H62" s="1262"/>
      <c r="I62" s="1262"/>
      <c r="J62" s="1262"/>
      <c r="K62" s="1262"/>
      <c r="L62" s="1265"/>
      <c r="M62" s="1241"/>
      <c r="N62" s="1241"/>
      <c r="O62" s="444"/>
      <c r="P62" s="308"/>
      <c r="Q62" s="1263"/>
      <c r="R62" s="308"/>
      <c r="S62" s="1242"/>
      <c r="T62" s="1245" t="s">
        <v>435</v>
      </c>
      <c r="U62" s="1244"/>
      <c r="V62" s="1244"/>
      <c r="W62" s="1244"/>
      <c r="X62" s="1244"/>
      <c r="Y62" s="1244"/>
      <c r="Z62" s="1244"/>
      <c r="AA62" s="1244"/>
      <c r="AB62" s="1244"/>
      <c r="AC62" s="1244"/>
      <c r="AD62" s="1244"/>
      <c r="AE62" s="1244"/>
      <c r="AF62" s="1244"/>
      <c r="AG62" s="1244"/>
      <c r="AH62" s="1244"/>
      <c r="AI62" s="1244"/>
      <c r="AJ62" s="1244"/>
      <c r="AK62" s="1244"/>
      <c r="AL62" s="1244"/>
      <c r="AM62" s="1244"/>
      <c r="AN62" s="1244"/>
      <c r="AO62" s="1244"/>
      <c r="AP62" s="1244"/>
      <c r="AQ62" s="1244"/>
      <c r="AR62" s="1244"/>
      <c r="AS62" s="1244"/>
      <c r="AT62" s="1244"/>
      <c r="AU62" s="1244"/>
      <c r="AV62" s="1244"/>
      <c r="AW62" s="1244"/>
      <c r="AX62" s="1244"/>
      <c r="AY62" s="1244"/>
      <c r="AZ62" s="1244"/>
      <c r="BA62" s="1244"/>
      <c r="BB62" s="1244"/>
      <c r="BC62" s="1244"/>
      <c r="BE62" s="426"/>
      <c r="BF62" s="426" t="str">
        <f t="shared" si="4"/>
        <v>Добавить территорию для дифференциации</v>
      </c>
      <c r="BG62" s="426"/>
      <c r="BH62" s="426"/>
    </row>
    <row r="63" spans="1:60" s="1559" customFormat="1" ht="0" hidden="1" customHeight="1">
      <c r="A63" s="1234"/>
      <c r="B63" s="1234"/>
      <c r="C63" s="1234"/>
      <c r="D63" s="1234"/>
      <c r="E63" s="1262"/>
      <c r="F63" s="1234"/>
      <c r="G63" s="1234"/>
      <c r="H63" s="1234"/>
      <c r="I63" s="1234"/>
      <c r="J63" s="1234"/>
      <c r="K63" s="1234"/>
      <c r="L63" s="1406"/>
      <c r="M63" s="1241"/>
      <c r="N63" s="1241"/>
      <c r="P63" s="1236"/>
      <c r="Q63" s="1237"/>
      <c r="R63" s="1236"/>
      <c r="S63" s="1242"/>
      <c r="T63" s="1245" t="s">
        <v>436</v>
      </c>
      <c r="U63" s="1244"/>
      <c r="V63" s="1244"/>
      <c r="W63" s="1244"/>
      <c r="X63" s="1244"/>
      <c r="Y63" s="1244"/>
      <c r="Z63" s="1244"/>
      <c r="AA63" s="1244"/>
      <c r="AB63" s="1244"/>
      <c r="AC63" s="1244"/>
      <c r="AD63" s="1244"/>
      <c r="AE63" s="1244"/>
      <c r="AF63" s="1244"/>
      <c r="AG63" s="1244"/>
      <c r="AH63" s="1244"/>
      <c r="AI63" s="1244"/>
      <c r="AJ63" s="1244"/>
      <c r="AK63" s="1244"/>
      <c r="AL63" s="1244"/>
      <c r="AM63" s="1244"/>
      <c r="AN63" s="1244"/>
      <c r="AO63" s="1244"/>
      <c r="AP63" s="1244"/>
      <c r="AQ63" s="1244"/>
      <c r="AR63" s="1244"/>
      <c r="AS63" s="1244"/>
      <c r="AT63" s="1244"/>
      <c r="AU63" s="1244"/>
      <c r="AV63" s="1244"/>
      <c r="AW63" s="1244"/>
      <c r="AX63" s="1244"/>
      <c r="AY63" s="1244"/>
      <c r="AZ63" s="1244"/>
      <c r="BA63" s="1244"/>
      <c r="BB63" s="1244"/>
      <c r="BC63" s="1244"/>
      <c r="BE63" s="702"/>
      <c r="BF63" s="702" t="str">
        <f t="shared" si="4"/>
        <v>Добавить наименование тарифа</v>
      </c>
      <c r="BG63" s="702"/>
      <c r="BH63" s="702"/>
    </row>
    <row r="64" spans="1:60" ht="11.25" hidden="1" customHeight="1">
      <c r="M64" s="1062"/>
      <c r="N64" s="1062"/>
      <c r="O64" s="462"/>
      <c r="P64" s="1062"/>
      <c r="Q64" s="1062"/>
      <c r="R64" s="1057"/>
      <c r="S64" s="1057"/>
      <c r="BD64" s="1057"/>
      <c r="BE64" s="1057"/>
      <c r="BF64" s="1057"/>
      <c r="BG64" s="1057"/>
      <c r="BH64" s="1057"/>
    </row>
    <row r="65" spans="15:55" ht="18.75" hidden="1" customHeight="1">
      <c r="O65" s="462"/>
      <c r="S65" s="1166" t="s">
        <v>508</v>
      </c>
      <c r="T65" s="2075" t="s">
        <v>1711</v>
      </c>
      <c r="U65" s="2075"/>
      <c r="V65" s="2075"/>
      <c r="W65" s="2075"/>
      <c r="X65" s="2075"/>
      <c r="Y65" s="2075"/>
      <c r="Z65" s="2075"/>
      <c r="AA65" s="2075"/>
      <c r="AB65" s="2075"/>
      <c r="AC65" s="2075"/>
      <c r="AD65" s="2075"/>
      <c r="AE65" s="2075"/>
      <c r="AF65" s="2075"/>
      <c r="AG65" s="2075"/>
      <c r="AH65" s="2075"/>
      <c r="AI65" s="2075"/>
      <c r="AJ65" s="2075"/>
      <c r="AK65" s="2075"/>
      <c r="AL65" s="2075"/>
      <c r="AM65" s="2075"/>
      <c r="AN65" s="2075"/>
      <c r="AO65" s="2075"/>
      <c r="AP65" s="2075"/>
      <c r="AQ65" s="2075"/>
      <c r="AR65" s="2075"/>
      <c r="AS65" s="2075"/>
      <c r="AT65" s="2075"/>
      <c r="AU65" s="2075"/>
      <c r="AV65" s="2075"/>
      <c r="AW65" s="2075"/>
      <c r="AX65" s="2075"/>
      <c r="AY65" s="2075"/>
      <c r="AZ65" s="2075"/>
      <c r="BA65" s="2075"/>
      <c r="BB65" s="2075"/>
      <c r="BC65" s="2075"/>
    </row>
    <row r="66" spans="15:55" ht="14.25" hidden="1" customHeight="1">
      <c r="O66" s="462"/>
      <c r="T66" s="1392"/>
      <c r="U66" s="1392"/>
      <c r="V66" s="1392"/>
      <c r="W66" s="1392"/>
      <c r="X66" s="1392"/>
      <c r="Y66" s="1392"/>
      <c r="Z66" s="1392"/>
      <c r="AA66" s="1392"/>
      <c r="AB66" s="1392"/>
      <c r="AC66" s="1392"/>
      <c r="AD66" s="1392"/>
      <c r="AE66" s="1392"/>
      <c r="AF66" s="1392"/>
      <c r="AG66" s="1392"/>
      <c r="AH66" s="1392"/>
      <c r="AI66" s="1392"/>
      <c r="AJ66" s="1392"/>
      <c r="AK66" s="1392"/>
      <c r="AL66" s="1392"/>
      <c r="AM66" s="1392"/>
      <c r="AN66" s="1392"/>
      <c r="AO66" s="1392"/>
      <c r="AP66" s="1392"/>
      <c r="AQ66" s="1392"/>
      <c r="AR66" s="1392"/>
      <c r="AS66" s="1392"/>
      <c r="AT66" s="1392"/>
      <c r="AU66" s="1392"/>
      <c r="AV66" s="1392"/>
      <c r="AW66" s="1392"/>
      <c r="AX66" s="1392"/>
      <c r="AY66" s="1392"/>
      <c r="AZ66" s="1392"/>
      <c r="BA66" s="1392"/>
      <c r="BB66" s="1392"/>
      <c r="BC66" s="1392"/>
    </row>
    <row r="67" spans="15:55" ht="18.75" hidden="1" customHeight="1">
      <c r="O67" s="462"/>
      <c r="S67" s="1166" t="s">
        <v>508</v>
      </c>
      <c r="T67" s="2075" t="s">
        <v>1712</v>
      </c>
      <c r="U67" s="2075"/>
      <c r="V67" s="2075"/>
      <c r="W67" s="2075"/>
      <c r="X67" s="2075"/>
      <c r="Y67" s="2075"/>
      <c r="Z67" s="2075"/>
      <c r="AA67" s="2075"/>
      <c r="AB67" s="2075"/>
      <c r="AC67" s="2075"/>
      <c r="AD67" s="2075"/>
      <c r="AE67" s="2075"/>
      <c r="AF67" s="2075"/>
      <c r="AG67" s="2075"/>
      <c r="AH67" s="2075"/>
      <c r="AI67" s="2075"/>
      <c r="AJ67" s="2075"/>
      <c r="AK67" s="2075"/>
      <c r="AL67" s="2075"/>
      <c r="AM67" s="2075"/>
      <c r="AN67" s="2075"/>
      <c r="AO67" s="2075"/>
      <c r="AP67" s="2075"/>
      <c r="AQ67" s="2075"/>
      <c r="AR67" s="2075"/>
      <c r="AS67" s="2075"/>
      <c r="AT67" s="2075"/>
      <c r="AU67" s="2075"/>
      <c r="AV67" s="2075"/>
      <c r="AW67" s="2075"/>
      <c r="AX67" s="2075"/>
      <c r="AY67" s="2075"/>
      <c r="AZ67" s="2075"/>
      <c r="BA67" s="2075"/>
      <c r="BB67" s="2075"/>
      <c r="BC67" s="2075"/>
    </row>
    <row r="68" spans="15:55" ht="14.25" customHeight="1">
      <c r="O68" s="462"/>
    </row>
  </sheetData>
  <sheetProtection formatColumns="0" formatRows="0" insertRows="0" deleteColumns="0" deleteRows="0" sort="0" autoFilter="0"/>
  <mergeCells count="122">
    <mergeCell ref="E2:E18"/>
    <mergeCell ref="V2:AC2"/>
    <mergeCell ref="AD2:BB2"/>
    <mergeCell ref="F3:F17"/>
    <mergeCell ref="V3:AC3"/>
    <mergeCell ref="AD3:BB3"/>
    <mergeCell ref="G4:G16"/>
    <mergeCell ref="V4:AC4"/>
    <mergeCell ref="AD4:BB4"/>
    <mergeCell ref="H5:H15"/>
    <mergeCell ref="V5:AC5"/>
    <mergeCell ref="AD5:BB5"/>
    <mergeCell ref="I6:I14"/>
    <mergeCell ref="P6:P14"/>
    <mergeCell ref="V6:AC6"/>
    <mergeCell ref="AD6:BB6"/>
    <mergeCell ref="J7:J13"/>
    <mergeCell ref="Q7:Q13"/>
    <mergeCell ref="V7:AC7"/>
    <mergeCell ref="AD7:BB7"/>
    <mergeCell ref="BC8:BC13"/>
    <mergeCell ref="AF8:AF11"/>
    <mergeCell ref="AG8:AG11"/>
    <mergeCell ref="AH8:AH11"/>
    <mergeCell ref="AI8:AI10"/>
    <mergeCell ref="AJ8:AJ10"/>
    <mergeCell ref="AK8:AK10"/>
    <mergeCell ref="K8:K12"/>
    <mergeCell ref="R8:R12"/>
    <mergeCell ref="S8:S12"/>
    <mergeCell ref="T8:T12"/>
    <mergeCell ref="AD8:AD12"/>
    <mergeCell ref="AE8:AE11"/>
    <mergeCell ref="S28:AZ28"/>
    <mergeCell ref="S29:AZ29"/>
    <mergeCell ref="S31:T31"/>
    <mergeCell ref="V31:AB31"/>
    <mergeCell ref="AD31:AZ31"/>
    <mergeCell ref="S32:T32"/>
    <mergeCell ref="V32:AB32"/>
    <mergeCell ref="AD32:AZ32"/>
    <mergeCell ref="AL8:AL10"/>
    <mergeCell ref="AM8:AM9"/>
    <mergeCell ref="AN8:AN9"/>
    <mergeCell ref="AO8:AO9"/>
    <mergeCell ref="AP8:AP9"/>
    <mergeCell ref="S36:T36"/>
    <mergeCell ref="V36:AB36"/>
    <mergeCell ref="AD36:AZ36"/>
    <mergeCell ref="S37:T37"/>
    <mergeCell ref="V37:AB37"/>
    <mergeCell ref="AD37:AZ37"/>
    <mergeCell ref="S33:T33"/>
    <mergeCell ref="V33:AB33"/>
    <mergeCell ref="AD33:AZ33"/>
    <mergeCell ref="S34:T34"/>
    <mergeCell ref="V34:AB34"/>
    <mergeCell ref="AD34:AZ34"/>
    <mergeCell ref="V39:AC39"/>
    <mergeCell ref="AD39:BA39"/>
    <mergeCell ref="S40:BB40"/>
    <mergeCell ref="BC40:BC44"/>
    <mergeCell ref="S41:S44"/>
    <mergeCell ref="T41:T44"/>
    <mergeCell ref="V41:AB41"/>
    <mergeCell ref="AC41:AC44"/>
    <mergeCell ref="AD41:AG44"/>
    <mergeCell ref="AH41:AK44"/>
    <mergeCell ref="AX42:AZ43"/>
    <mergeCell ref="AA44:AB44"/>
    <mergeCell ref="AY44:AZ44"/>
    <mergeCell ref="AA45:AB45"/>
    <mergeCell ref="AY45:AZ45"/>
    <mergeCell ref="E46:E62"/>
    <mergeCell ref="V46:AC46"/>
    <mergeCell ref="AD46:BB46"/>
    <mergeCell ref="F47:F61"/>
    <mergeCell ref="V47:AC47"/>
    <mergeCell ref="AL41:AO44"/>
    <mergeCell ref="AP41:AS44"/>
    <mergeCell ref="AT41:AZ41"/>
    <mergeCell ref="BA41:BA44"/>
    <mergeCell ref="BB41:BB44"/>
    <mergeCell ref="V42:W43"/>
    <mergeCell ref="X42:Y43"/>
    <mergeCell ref="Z42:AB43"/>
    <mergeCell ref="AT42:AU43"/>
    <mergeCell ref="AV42:AW43"/>
    <mergeCell ref="AD47:BB47"/>
    <mergeCell ref="G48:G60"/>
    <mergeCell ref="V48:AC48"/>
    <mergeCell ref="AD48:BB48"/>
    <mergeCell ref="H49:H59"/>
    <mergeCell ref="V49:AC49"/>
    <mergeCell ref="AD49:BB49"/>
    <mergeCell ref="I50:I58"/>
    <mergeCell ref="P50:P58"/>
    <mergeCell ref="V50:AC50"/>
    <mergeCell ref="AD50:BB50"/>
    <mergeCell ref="J51:J57"/>
    <mergeCell ref="Q51:Q57"/>
    <mergeCell ref="V51:AC51"/>
    <mergeCell ref="AD51:BB51"/>
    <mergeCell ref="K52:K56"/>
    <mergeCell ref="S52:S56"/>
    <mergeCell ref="T52:T56"/>
    <mergeCell ref="AD52:AD56"/>
    <mergeCell ref="AE52:AE55"/>
    <mergeCell ref="T65:BC65"/>
    <mergeCell ref="T67:BC67"/>
    <mergeCell ref="AL52:AL54"/>
    <mergeCell ref="AM52:AM53"/>
    <mergeCell ref="AN52:AN53"/>
    <mergeCell ref="AO52:AO53"/>
    <mergeCell ref="AP52:AP53"/>
    <mergeCell ref="BC52:BC57"/>
    <mergeCell ref="AF52:AF55"/>
    <mergeCell ref="AG52:AG55"/>
    <mergeCell ref="AH52:AH55"/>
    <mergeCell ref="AI52:AI54"/>
    <mergeCell ref="AJ52:AJ54"/>
    <mergeCell ref="AK52:AK54"/>
  </mergeCells>
  <dataValidations count="9">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AP57"/>
  <sheetViews>
    <sheetView showGridLines="0" topLeftCell="P23" zoomScale="90" workbookViewId="0"/>
  </sheetViews>
  <sheetFormatPr defaultColWidth="10.5703125" defaultRowHeight="14.25" customHeight="1"/>
  <cols>
    <col min="1" max="1" width="10.5703125" style="1284" hidden="1"/>
    <col min="2" max="2" width="11" style="1284" hidden="1" customWidth="1"/>
    <col min="3" max="3" width="10.5703125" style="1284" hidden="1"/>
    <col min="4" max="4" width="11.85546875" style="1284" hidden="1" customWidth="1"/>
    <col min="5" max="5" width="10" style="1284" hidden="1" customWidth="1"/>
    <col min="6" max="6" width="8.7109375" style="1284" hidden="1" customWidth="1"/>
    <col min="7" max="7" width="7.5703125" style="1284" hidden="1" customWidth="1"/>
    <col min="8" max="8" width="11.42578125" style="1284" hidden="1" customWidth="1"/>
    <col min="9" max="9" width="14.140625" style="1284" hidden="1" customWidth="1"/>
    <col min="10" max="10" width="9.85546875" style="1284" hidden="1" customWidth="1"/>
    <col min="11" max="11" width="14.7109375" style="1284" hidden="1" customWidth="1"/>
    <col min="12" max="12" width="19.140625" style="1799" hidden="1" customWidth="1"/>
    <col min="13" max="14" width="12.28515625" style="1696" hidden="1" customWidth="1"/>
    <col min="15" max="15" width="23.42578125" style="1696" hidden="1" customWidth="1"/>
    <col min="16" max="16" width="3.7109375" style="1803" customWidth="1"/>
    <col min="17" max="18" width="3.7109375" style="265" customWidth="1"/>
    <col min="19" max="19" width="12.7109375" style="1806" customWidth="1"/>
    <col min="20" max="20" width="35.7109375" style="1552" customWidth="1"/>
    <col min="21" max="21" width="0.140625" style="1552" customWidth="1"/>
    <col min="22" max="24" width="24.7109375" style="1552" hidden="1" customWidth="1"/>
    <col min="25" max="25" width="11.7109375" style="1552" hidden="1" customWidth="1"/>
    <col min="26" max="26" width="3.7109375" style="1552" hidden="1" customWidth="1"/>
    <col min="27" max="27" width="11.7109375" style="1552" hidden="1" customWidth="1"/>
    <col min="28" max="28" width="8.5703125" style="1552" hidden="1" customWidth="1"/>
    <col min="29" max="31" width="24.7109375" style="1552" customWidth="1"/>
    <col min="32" max="32" width="11.7109375" style="1552" customWidth="1"/>
    <col min="33" max="33" width="3.7109375" style="1552" customWidth="1"/>
    <col min="34" max="34" width="11.7109375" style="1552" customWidth="1"/>
    <col min="35" max="35" width="8.5703125" style="1552" hidden="1" customWidth="1"/>
    <col min="36" max="36" width="4.7109375" style="1552" customWidth="1"/>
    <col min="37" max="37" width="115.7109375" style="1552" customWidth="1"/>
    <col min="38" max="39" width="10.5703125" style="1559"/>
    <col min="40" max="40" width="11.140625" style="1559" customWidth="1"/>
    <col min="41" max="42" width="10.5703125" style="1559"/>
  </cols>
  <sheetData>
    <row r="1" spans="1:42" ht="14.25" hidden="1" customHeight="1">
      <c r="X1" s="249"/>
      <c r="Y1" s="249"/>
      <c r="AE1" s="249"/>
      <c r="AF1" s="249"/>
    </row>
    <row r="2" spans="1:42" ht="23.25" hidden="1" customHeight="1">
      <c r="A2" s="1281"/>
      <c r="B2" s="1281"/>
      <c r="C2" s="1281"/>
      <c r="D2" s="1281"/>
      <c r="E2" s="2076">
        <v>1</v>
      </c>
      <c r="F2" s="1281"/>
      <c r="G2" s="1281"/>
      <c r="H2" s="1281"/>
      <c r="I2" s="1281"/>
      <c r="J2" s="1281"/>
      <c r="K2" s="1281"/>
      <c r="L2" s="1282"/>
      <c r="M2" s="1283"/>
      <c r="N2" s="1283"/>
      <c r="O2" s="1283"/>
      <c r="P2" s="282"/>
      <c r="Q2" s="281"/>
      <c r="R2" s="276"/>
      <c r="S2" s="1405" t="e">
        <f>INDEX(PT_DIFFERENTIATION_NUM_NTAR,MATCH(A2,PT_DIFFERENTIATION_NTAR_ID,0))</f>
        <v>#N/A</v>
      </c>
      <c r="T2" s="212" t="s">
        <v>128</v>
      </c>
      <c r="U2" s="214"/>
      <c r="V2" s="2070"/>
      <c r="W2" s="2071"/>
      <c r="X2" s="2071"/>
      <c r="Y2" s="2071"/>
      <c r="Z2" s="2071"/>
      <c r="AA2" s="2071"/>
      <c r="AB2" s="2072"/>
      <c r="AC2" s="2070" t="e">
        <f>INDEX(PT_DIFFERENTIATION_NTAR,MATCH(A2,PT_DIFFERENTIATION_NTAR_ID,0))</f>
        <v>#N/A</v>
      </c>
      <c r="AD2" s="2071"/>
      <c r="AE2" s="2071"/>
      <c r="AF2" s="2071"/>
      <c r="AG2" s="2071"/>
      <c r="AH2" s="2071"/>
      <c r="AI2" s="2071"/>
      <c r="AJ2" s="2072"/>
      <c r="AK2" s="117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426"/>
      <c r="AN2" s="426" t="str">
        <f t="shared" ref="AN2:AN13" si="0">IF(T2="","",T2)</f>
        <v>Наименование тарифа</v>
      </c>
      <c r="AO2" s="426"/>
      <c r="AP2" s="426"/>
    </row>
    <row r="3" spans="1:42" ht="23.25" hidden="1" customHeight="1">
      <c r="A3" s="1281"/>
      <c r="B3" s="1281"/>
      <c r="C3" s="1281"/>
      <c r="D3" s="1281"/>
      <c r="E3" s="2077"/>
      <c r="F3" s="2076">
        <v>1</v>
      </c>
      <c r="G3" s="1281"/>
      <c r="H3" s="1281"/>
      <c r="I3" s="1281"/>
      <c r="J3" s="1281"/>
      <c r="K3" s="1281"/>
      <c r="L3" s="1282"/>
      <c r="M3" s="1283"/>
      <c r="N3" s="1283"/>
      <c r="O3" s="1283"/>
      <c r="P3" s="1399"/>
      <c r="Q3" s="273"/>
      <c r="R3" s="274"/>
      <c r="S3" s="1405" t="e">
        <f>INDEX(PT_DIFFERENTIATION_NUM_TER,MATCH(B3,PT_DIFFERENTIATION_TER_ID,0))</f>
        <v>#N/A</v>
      </c>
      <c r="T3" s="224" t="s">
        <v>460</v>
      </c>
      <c r="U3" s="214"/>
      <c r="V3" s="2070"/>
      <c r="W3" s="2071"/>
      <c r="X3" s="2071"/>
      <c r="Y3" s="2071"/>
      <c r="Z3" s="2071"/>
      <c r="AA3" s="2071"/>
      <c r="AB3" s="2072"/>
      <c r="AC3" s="2070" t="e">
        <f>INDEX(PT_DIFFERENTIATION_TER,MATCH(B3,PT_DIFFERENTIATION_TER_ID,0))</f>
        <v>#N/A</v>
      </c>
      <c r="AD3" s="2071"/>
      <c r="AE3" s="2071"/>
      <c r="AF3" s="2071"/>
      <c r="AG3" s="2071"/>
      <c r="AH3" s="2071"/>
      <c r="AI3" s="2071"/>
      <c r="AJ3" s="2072"/>
      <c r="AK3" s="1179" t="s">
        <v>461</v>
      </c>
      <c r="AM3" s="426"/>
      <c r="AN3" s="426" t="str">
        <f t="shared" si="0"/>
        <v>Территория действия тарифа</v>
      </c>
      <c r="AO3" s="426"/>
      <c r="AP3" s="426"/>
    </row>
    <row r="4" spans="1:42" ht="23.25" hidden="1" customHeight="1">
      <c r="A4" s="1281"/>
      <c r="B4" s="1281"/>
      <c r="C4" s="1281"/>
      <c r="D4" s="1281"/>
      <c r="E4" s="2077"/>
      <c r="F4" s="2077"/>
      <c r="G4" s="2076">
        <v>1</v>
      </c>
      <c r="H4" s="1281"/>
      <c r="I4" s="1281"/>
      <c r="J4" s="1281"/>
      <c r="K4" s="1281"/>
      <c r="L4" s="1282"/>
      <c r="M4" s="1283"/>
      <c r="N4" s="1283"/>
      <c r="O4" s="1283"/>
      <c r="P4" s="275"/>
      <c r="Q4" s="273"/>
      <c r="R4" s="274"/>
      <c r="S4" s="1405" t="e">
        <f>INDEX(PT_DIFFERENTIATION_NUM_CS,MATCH(C4,PT_DIFFERENTIATION_CS_ID,0))</f>
        <v>#N/A</v>
      </c>
      <c r="T4" s="225" t="s">
        <v>2063</v>
      </c>
      <c r="U4" s="214"/>
      <c r="V4" s="2070"/>
      <c r="W4" s="2071"/>
      <c r="X4" s="2071"/>
      <c r="Y4" s="2071"/>
      <c r="Z4" s="2071"/>
      <c r="AA4" s="2071"/>
      <c r="AB4" s="2072"/>
      <c r="AC4" s="2070" t="e">
        <f>INDEX(PT_DIFFERENTIATION_CS,MATCH(C4,PT_DIFFERENTIATION_CS_ID,0))</f>
        <v>#N/A</v>
      </c>
      <c r="AD4" s="2071"/>
      <c r="AE4" s="2071"/>
      <c r="AF4" s="2071"/>
      <c r="AG4" s="2071"/>
      <c r="AH4" s="2071"/>
      <c r="AI4" s="2071"/>
      <c r="AJ4" s="2072"/>
      <c r="AK4" s="1179" t="s">
        <v>2064</v>
      </c>
      <c r="AM4" s="426"/>
      <c r="AN4" s="426" t="str">
        <f t="shared" si="0"/>
        <v>Наименование централизованной системы водоотведения</v>
      </c>
      <c r="AO4" s="426"/>
      <c r="AP4" s="426"/>
    </row>
    <row r="5" spans="1:42" ht="23.25" hidden="1" customHeight="1">
      <c r="A5" s="1281"/>
      <c r="B5" s="1281"/>
      <c r="C5" s="1281"/>
      <c r="D5" s="1281"/>
      <c r="E5" s="2077"/>
      <c r="F5" s="2077"/>
      <c r="G5" s="2077"/>
      <c r="H5" s="2077"/>
      <c r="I5" s="2078" t="e">
        <f>S4&amp;".1"</f>
        <v>#N/A</v>
      </c>
      <c r="J5" s="1281"/>
      <c r="K5" s="1281"/>
      <c r="L5" s="1282"/>
      <c r="P5" s="1995">
        <v>1</v>
      </c>
      <c r="Q5" s="1393"/>
      <c r="R5" s="277"/>
      <c r="S5" s="1405" t="e">
        <f>$I5</f>
        <v>#N/A</v>
      </c>
      <c r="T5" s="200" t="s">
        <v>1678</v>
      </c>
      <c r="U5" s="214"/>
      <c r="V5" s="2176"/>
      <c r="W5" s="2177"/>
      <c r="X5" s="2177"/>
      <c r="Y5" s="2177"/>
      <c r="Z5" s="2177"/>
      <c r="AA5" s="2177"/>
      <c r="AB5" s="2178"/>
      <c r="AC5" s="2179"/>
      <c r="AD5" s="2180"/>
      <c r="AE5" s="2180"/>
      <c r="AF5" s="2180"/>
      <c r="AG5" s="2180"/>
      <c r="AH5" s="2180"/>
      <c r="AI5" s="2180"/>
      <c r="AJ5" s="2181"/>
      <c r="AK5" s="1179" t="s">
        <v>1679</v>
      </c>
      <c r="AM5" s="426"/>
      <c r="AN5" s="426" t="str">
        <f t="shared" si="0"/>
        <v>Наименование признака дифференциации</v>
      </c>
      <c r="AO5" s="426"/>
      <c r="AP5" s="426"/>
    </row>
    <row r="6" spans="1:42" ht="23.25" hidden="1" customHeight="1">
      <c r="A6" s="1281"/>
      <c r="B6" s="1281"/>
      <c r="C6" s="1281"/>
      <c r="D6" s="1281"/>
      <c r="E6" s="2077"/>
      <c r="F6" s="2077"/>
      <c r="G6" s="2077"/>
      <c r="H6" s="2077"/>
      <c r="I6" s="2079"/>
      <c r="J6" s="2078" t="e">
        <f>I5&amp;".1"</f>
        <v>#N/A</v>
      </c>
      <c r="K6" s="1281"/>
      <c r="L6" s="1282" t="s">
        <v>469</v>
      </c>
      <c r="P6" s="1995"/>
      <c r="Q6" s="1995">
        <v>1</v>
      </c>
      <c r="R6" s="278"/>
      <c r="S6" s="1405" t="e">
        <f>$J6</f>
        <v>#N/A</v>
      </c>
      <c r="T6" s="201" t="s">
        <v>470</v>
      </c>
      <c r="U6" s="214"/>
      <c r="V6" s="2064"/>
      <c r="W6" s="2065"/>
      <c r="X6" s="2065"/>
      <c r="Y6" s="2065"/>
      <c r="Z6" s="2065"/>
      <c r="AA6" s="2065"/>
      <c r="AB6" s="2066"/>
      <c r="AC6" s="2064"/>
      <c r="AD6" s="2065"/>
      <c r="AE6" s="2065"/>
      <c r="AF6" s="2065"/>
      <c r="AG6" s="2065"/>
      <c r="AH6" s="2065"/>
      <c r="AI6" s="2065"/>
      <c r="AJ6" s="2066"/>
      <c r="AK6" s="1228" t="s">
        <v>1680</v>
      </c>
      <c r="AM6" s="426"/>
      <c r="AN6" s="426" t="str">
        <f t="shared" si="0"/>
        <v>Группа потребителей</v>
      </c>
      <c r="AO6" s="426"/>
      <c r="AP6" s="426"/>
    </row>
    <row r="7" spans="1:42" ht="23.25" hidden="1" customHeight="1">
      <c r="A7" s="1281"/>
      <c r="B7" s="1281"/>
      <c r="C7" s="1281"/>
      <c r="D7" s="1281"/>
      <c r="E7" s="2077"/>
      <c r="F7" s="2077"/>
      <c r="G7" s="2077"/>
      <c r="H7" s="2077"/>
      <c r="I7" s="2079"/>
      <c r="J7" s="2079"/>
      <c r="K7" s="2078" t="e">
        <f>J6&amp;".1"</f>
        <v>#N/A</v>
      </c>
      <c r="L7" s="1282"/>
      <c r="P7" s="1995"/>
      <c r="Q7" s="1995"/>
      <c r="R7" s="278">
        <v>1</v>
      </c>
      <c r="S7" s="1405" t="e">
        <f>$K7</f>
        <v>#N/A</v>
      </c>
      <c r="T7" s="1354"/>
      <c r="U7" s="214"/>
      <c r="V7" s="664"/>
      <c r="W7" s="664"/>
      <c r="X7" s="1178"/>
      <c r="Y7" s="2080"/>
      <c r="Z7" s="1885" t="s">
        <v>59</v>
      </c>
      <c r="AA7" s="2080"/>
      <c r="AB7" s="1885" t="s">
        <v>59</v>
      </c>
      <c r="AC7" s="664"/>
      <c r="AD7" s="664"/>
      <c r="AE7" s="1178"/>
      <c r="AF7" s="2080"/>
      <c r="AG7" s="1885" t="s">
        <v>59</v>
      </c>
      <c r="AH7" s="2082"/>
      <c r="AI7" s="1885" t="s">
        <v>59</v>
      </c>
      <c r="AJ7" s="1355"/>
      <c r="AK7" s="2182"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437" t="e">
        <f ca="1">STRCHECKDATE(V8:AJ8)</f>
        <v>#NAME?</v>
      </c>
      <c r="AM7" s="426"/>
      <c r="AN7" s="426" t="str">
        <f t="shared" si="0"/>
        <v/>
      </c>
      <c r="AO7" s="426"/>
      <c r="AP7" s="426"/>
    </row>
    <row r="8" spans="1:42" ht="14.25" hidden="1" customHeight="1">
      <c r="A8" s="1281"/>
      <c r="B8" s="1281"/>
      <c r="C8" s="1281"/>
      <c r="D8" s="1281"/>
      <c r="E8" s="2077"/>
      <c r="F8" s="2077"/>
      <c r="G8" s="2077"/>
      <c r="H8" s="2077"/>
      <c r="I8" s="2079"/>
      <c r="J8" s="2079"/>
      <c r="K8" s="2078"/>
      <c r="L8" s="1282"/>
      <c r="P8" s="1995"/>
      <c r="Q8" s="1995"/>
      <c r="R8" s="278"/>
      <c r="S8" s="1402"/>
      <c r="T8" s="214"/>
      <c r="U8" s="214"/>
      <c r="V8" s="246"/>
      <c r="W8" s="246"/>
      <c r="X8" s="250" t="str">
        <f>Y7&amp;"-"&amp;AA7</f>
        <v>-</v>
      </c>
      <c r="Y8" s="2081"/>
      <c r="Z8" s="1885"/>
      <c r="AA8" s="2081"/>
      <c r="AB8" s="1885"/>
      <c r="AC8" s="246"/>
      <c r="AD8" s="246"/>
      <c r="AE8" s="250" t="str">
        <f>AF7&amp;"-"&amp;AH7</f>
        <v>-</v>
      </c>
      <c r="AF8" s="2081"/>
      <c r="AG8" s="1885"/>
      <c r="AH8" s="2083"/>
      <c r="AI8" s="1885"/>
      <c r="AJ8" s="1356"/>
      <c r="AK8" s="2182"/>
      <c r="AM8" s="426"/>
      <c r="AN8" s="426" t="str">
        <f t="shared" si="0"/>
        <v/>
      </c>
      <c r="AO8" s="426"/>
      <c r="AP8" s="426"/>
    </row>
    <row r="9" spans="1:42" ht="21" hidden="1" customHeight="1">
      <c r="A9" s="1281"/>
      <c r="B9" s="1281"/>
      <c r="C9" s="1281"/>
      <c r="D9" s="1281"/>
      <c r="E9" s="2077"/>
      <c r="F9" s="2077"/>
      <c r="G9" s="2077"/>
      <c r="H9" s="2077"/>
      <c r="I9" s="2079"/>
      <c r="J9" s="2078"/>
      <c r="K9" s="1281"/>
      <c r="L9" s="1282"/>
      <c r="P9" s="1995"/>
      <c r="Q9" s="1995"/>
      <c r="R9" s="277"/>
      <c r="S9" s="1200"/>
      <c r="T9" s="202" t="s">
        <v>1681</v>
      </c>
      <c r="U9" s="291"/>
      <c r="V9" s="291"/>
      <c r="W9" s="291"/>
      <c r="X9" s="291"/>
      <c r="Y9" s="291"/>
      <c r="Z9" s="291"/>
      <c r="AA9" s="291"/>
      <c r="AB9" s="291"/>
      <c r="AC9" s="291"/>
      <c r="AD9" s="291"/>
      <c r="AE9" s="291"/>
      <c r="AF9" s="291"/>
      <c r="AG9" s="291"/>
      <c r="AH9" s="291"/>
      <c r="AI9" s="291"/>
      <c r="AJ9" s="291"/>
      <c r="AK9" s="1179" t="s">
        <v>1682</v>
      </c>
      <c r="AM9" s="426"/>
      <c r="AN9" s="426" t="str">
        <f t="shared" si="0"/>
        <v>Добавить значение признака дифференциации</v>
      </c>
      <c r="AO9" s="426"/>
      <c r="AP9" s="426"/>
    </row>
    <row r="10" spans="1:42" ht="21" hidden="1" customHeight="1">
      <c r="A10" s="1281"/>
      <c r="B10" s="1281"/>
      <c r="C10" s="1281"/>
      <c r="D10" s="1281"/>
      <c r="E10" s="2077"/>
      <c r="F10" s="2077"/>
      <c r="G10" s="2077"/>
      <c r="H10" s="2077"/>
      <c r="I10" s="2078"/>
      <c r="J10" s="1281"/>
      <c r="K10" s="1281"/>
      <c r="L10" s="1282"/>
      <c r="P10" s="1995"/>
      <c r="Q10" s="1393"/>
      <c r="R10" s="277"/>
      <c r="S10" s="1200"/>
      <c r="T10" s="288" t="s">
        <v>475</v>
      </c>
      <c r="U10" s="291"/>
      <c r="V10" s="291"/>
      <c r="W10" s="291"/>
      <c r="X10" s="291"/>
      <c r="Y10" s="291"/>
      <c r="Z10" s="291"/>
      <c r="AA10" s="291"/>
      <c r="AB10" s="290"/>
      <c r="AC10" s="291"/>
      <c r="AD10" s="291"/>
      <c r="AE10" s="291"/>
      <c r="AF10" s="291"/>
      <c r="AG10" s="291"/>
      <c r="AH10" s="291"/>
      <c r="AI10" s="290"/>
      <c r="AJ10" s="291"/>
      <c r="AK10" s="1357"/>
      <c r="AM10" s="426"/>
      <c r="AN10" s="426" t="str">
        <f t="shared" si="0"/>
        <v>Добавить группу потребителей</v>
      </c>
      <c r="AO10" s="426"/>
      <c r="AP10" s="426"/>
    </row>
    <row r="11" spans="1:42" ht="21" hidden="1" customHeight="1">
      <c r="A11" s="1281"/>
      <c r="B11" s="1281"/>
      <c r="C11" s="1281"/>
      <c r="D11" s="1281"/>
      <c r="E11" s="2077"/>
      <c r="F11" s="2077"/>
      <c r="G11" s="2077"/>
      <c r="H11" s="2076"/>
      <c r="I11" s="1281"/>
      <c r="J11" s="1281"/>
      <c r="K11" s="1281"/>
      <c r="L11" s="1282"/>
      <c r="M11" s="1283"/>
      <c r="N11" s="1283"/>
      <c r="O11" s="462"/>
      <c r="P11" s="281"/>
      <c r="Q11" s="299"/>
      <c r="R11" s="276"/>
      <c r="S11" s="1200"/>
      <c r="T11" s="296" t="s">
        <v>1683</v>
      </c>
      <c r="U11" s="291"/>
      <c r="V11" s="291"/>
      <c r="W11" s="291"/>
      <c r="X11" s="291"/>
      <c r="Y11" s="291"/>
      <c r="Z11" s="291"/>
      <c r="AA11" s="291"/>
      <c r="AB11" s="290"/>
      <c r="AC11" s="291"/>
      <c r="AD11" s="291"/>
      <c r="AE11" s="291"/>
      <c r="AF11" s="291"/>
      <c r="AG11" s="291"/>
      <c r="AH11" s="291"/>
      <c r="AI11" s="290"/>
      <c r="AJ11" s="291"/>
      <c r="AK11" s="217"/>
      <c r="AM11" s="426"/>
      <c r="AN11" s="426" t="str">
        <f t="shared" si="0"/>
        <v>Добавить наименование признака дифференциации</v>
      </c>
      <c r="AO11" s="426"/>
      <c r="AP11" s="426"/>
    </row>
    <row r="12" spans="1:42" s="1559" customFormat="1" ht="14.25" hidden="1" customHeight="1">
      <c r="A12" s="1262"/>
      <c r="B12" s="1262"/>
      <c r="C12" s="1234"/>
      <c r="D12" s="1234"/>
      <c r="E12" s="2077"/>
      <c r="F12" s="2076"/>
      <c r="G12" s="1234"/>
      <c r="H12" s="1234"/>
      <c r="I12" s="1234"/>
      <c r="J12" s="1234"/>
      <c r="K12" s="1234"/>
      <c r="L12" s="1406"/>
      <c r="M12" s="1241"/>
      <c r="N12" s="1241"/>
      <c r="P12" s="1236"/>
      <c r="Q12" s="1237"/>
      <c r="R12" s="1236"/>
      <c r="S12" s="1242"/>
      <c r="T12" s="1245" t="s">
        <v>434</v>
      </c>
      <c r="U12" s="1244"/>
      <c r="V12" s="1244"/>
      <c r="W12" s="1244"/>
      <c r="X12" s="1244"/>
      <c r="Y12" s="1244"/>
      <c r="Z12" s="1244"/>
      <c r="AA12" s="1244"/>
      <c r="AB12" s="1244"/>
      <c r="AC12" s="1244"/>
      <c r="AD12" s="1244"/>
      <c r="AE12" s="1244"/>
      <c r="AF12" s="1244"/>
      <c r="AG12" s="1244"/>
      <c r="AH12" s="1244"/>
      <c r="AI12" s="1244"/>
      <c r="AJ12" s="1244"/>
      <c r="AK12" s="1244"/>
      <c r="AM12" s="702"/>
      <c r="AN12" s="702" t="str">
        <f t="shared" si="0"/>
        <v>Добавить централизованную систему для дифференциации</v>
      </c>
      <c r="AO12" s="702"/>
      <c r="AP12" s="702"/>
    </row>
    <row r="13" spans="1:42" s="1559" customFormat="1" ht="14.25" hidden="1" customHeight="1">
      <c r="A13" s="1262"/>
      <c r="B13" s="1262"/>
      <c r="C13" s="1262"/>
      <c r="D13" s="1262"/>
      <c r="E13" s="2076"/>
      <c r="F13" s="1262"/>
      <c r="G13" s="1262"/>
      <c r="H13" s="1262"/>
      <c r="I13" s="1262"/>
      <c r="J13" s="1262"/>
      <c r="K13" s="1262"/>
      <c r="L13" s="1265"/>
      <c r="M13" s="1241"/>
      <c r="N13" s="1241"/>
      <c r="O13" s="444"/>
      <c r="P13" s="308"/>
      <c r="Q13" s="1263"/>
      <c r="R13" s="308"/>
      <c r="S13" s="1242"/>
      <c r="T13" s="1245" t="s">
        <v>435</v>
      </c>
      <c r="U13" s="1244"/>
      <c r="V13" s="1244"/>
      <c r="W13" s="1244"/>
      <c r="X13" s="1244"/>
      <c r="Y13" s="1244"/>
      <c r="Z13" s="1244"/>
      <c r="AA13" s="1244"/>
      <c r="AB13" s="1244"/>
      <c r="AC13" s="1244"/>
      <c r="AD13" s="1244"/>
      <c r="AE13" s="1244"/>
      <c r="AF13" s="1244"/>
      <c r="AG13" s="1244"/>
      <c r="AH13" s="1244"/>
      <c r="AI13" s="1244"/>
      <c r="AJ13" s="1244"/>
      <c r="AK13" s="1244"/>
      <c r="AM13" s="426"/>
      <c r="AN13" s="426" t="str">
        <f t="shared" si="0"/>
        <v>Добавить территорию для дифференциации</v>
      </c>
      <c r="AO13" s="426"/>
      <c r="AP13" s="426"/>
    </row>
    <row r="14" spans="1:42" ht="14.25" hidden="1" customHeight="1">
      <c r="AB14" s="249"/>
      <c r="AI14" s="249"/>
    </row>
    <row r="15" spans="1:42" ht="14.25" hidden="1" customHeight="1">
      <c r="AC15" s="1278"/>
      <c r="AD15" s="1278"/>
      <c r="AE15" s="1279"/>
      <c r="AF15" s="2074"/>
      <c r="AG15" s="2073" t="s">
        <v>59</v>
      </c>
      <c r="AH15" s="2074"/>
      <c r="AI15" s="2073" t="s">
        <v>59</v>
      </c>
    </row>
    <row r="16" spans="1:42" ht="14.25" hidden="1" customHeight="1">
      <c r="AC16" s="1278"/>
      <c r="AD16" s="1278"/>
      <c r="AE16" s="250" t="str">
        <f>AF15&amp;"-"&amp;AH15</f>
        <v>-</v>
      </c>
      <c r="AF16" s="2073"/>
      <c r="AG16" s="2073"/>
      <c r="AH16" s="2073"/>
      <c r="AI16" s="2073"/>
    </row>
    <row r="17" spans="1:42" ht="14.25" hidden="1" customHeight="1">
      <c r="AI17" s="249"/>
    </row>
    <row r="18" spans="1:42" s="1284" customFormat="1" ht="22.5" hidden="1" customHeight="1">
      <c r="L18" s="1390"/>
      <c r="M18" s="1280"/>
      <c r="N18" s="1280"/>
      <c r="O18" s="1285" t="s">
        <v>477</v>
      </c>
      <c r="P18" s="1280"/>
      <c r="Q18" s="1289"/>
      <c r="R18" s="1289"/>
      <c r="S18" s="645"/>
      <c r="Y18" s="1285"/>
      <c r="AA18" s="1285"/>
      <c r="AF18" s="1285"/>
      <c r="AH18" s="1285"/>
      <c r="AL18" s="437"/>
      <c r="AM18" s="437"/>
      <c r="AN18" s="437"/>
      <c r="AO18" s="437"/>
      <c r="AP18" s="437"/>
    </row>
    <row r="19" spans="1:42" s="1284" customFormat="1" ht="14.25" hidden="1" customHeight="1">
      <c r="L19" s="1390"/>
      <c r="M19" s="1280"/>
      <c r="N19" s="1280"/>
      <c r="O19" s="1280"/>
      <c r="P19" s="1280"/>
      <c r="Q19" s="1289"/>
      <c r="R19" s="1289"/>
      <c r="S19" s="645"/>
      <c r="AL19" s="437"/>
      <c r="AM19" s="437"/>
      <c r="AN19" s="437"/>
      <c r="AO19" s="437"/>
      <c r="AP19" s="437"/>
    </row>
    <row r="20" spans="1:42" s="1284" customFormat="1" ht="12" hidden="1" customHeight="1">
      <c r="L20" s="1390"/>
      <c r="M20" s="1280"/>
      <c r="N20" s="1280"/>
      <c r="O20" s="1282" t="s">
        <v>478</v>
      </c>
      <c r="P20" s="1280"/>
      <c r="Q20" s="1358"/>
      <c r="R20" s="1358"/>
      <c r="S20" s="645"/>
      <c r="T20" s="1062" t="s">
        <v>479</v>
      </c>
      <c r="Z20" s="104" t="s">
        <v>480</v>
      </c>
      <c r="AB20" s="104" t="s">
        <v>481</v>
      </c>
      <c r="AC20" s="1062" t="s">
        <v>479</v>
      </c>
      <c r="AG20" s="104" t="s">
        <v>482</v>
      </c>
      <c r="AI20" s="104" t="s">
        <v>481</v>
      </c>
    </row>
    <row r="21" spans="1:42" ht="14.25" hidden="1" customHeight="1">
      <c r="O21" s="1282"/>
    </row>
    <row r="22" spans="1:42" ht="14.25" hidden="1" customHeight="1">
      <c r="O22" s="1282"/>
    </row>
    <row r="23" spans="1:42" ht="14.25" customHeight="1">
      <c r="Q23" s="300"/>
      <c r="R23" s="300"/>
      <c r="S23" s="1197"/>
      <c r="T23" s="286"/>
      <c r="U23" s="286"/>
      <c r="V23" s="435"/>
      <c r="W23" s="435"/>
      <c r="X23" s="435"/>
      <c r="Y23" s="435"/>
      <c r="Z23" s="435"/>
      <c r="AA23" s="435"/>
      <c r="AB23" s="435"/>
      <c r="AC23" s="435"/>
      <c r="AD23" s="435"/>
      <c r="AE23" s="435"/>
      <c r="AF23" s="435"/>
      <c r="AG23" s="435"/>
      <c r="AH23" s="435"/>
      <c r="AI23" s="435"/>
    </row>
    <row r="24" spans="1:42" ht="32.25" customHeight="1">
      <c r="Q24" s="300"/>
      <c r="R24" s="300"/>
      <c r="S24" s="2101" t="str">
        <f>IF(TEMPLATE_GROUP="P",PT_P_FORM_VOTV_4_NAME_FORM,PT_R_FORM_VOTV_16_NAME_FORM)</f>
        <v>Форма 16. Информация о предложении расчетной величины тарифов организации водоотведения об установлении тарифов в сфере водоотведения на очередной период регулирования &lt;1&gt;</v>
      </c>
      <c r="T24" s="2101"/>
      <c r="U24" s="2101"/>
      <c r="V24" s="2101"/>
      <c r="W24" s="2101"/>
      <c r="X24" s="2101"/>
      <c r="Y24" s="2101"/>
      <c r="Z24" s="2101"/>
      <c r="AA24" s="2101"/>
      <c r="AB24" s="2101"/>
      <c r="AC24" s="2101"/>
      <c r="AD24" s="2101"/>
      <c r="AE24" s="2101"/>
      <c r="AF24" s="2101"/>
      <c r="AG24" s="2101"/>
      <c r="AH24" s="2101"/>
      <c r="AI24" s="1154"/>
    </row>
    <row r="25" spans="1:42" ht="14.25" customHeight="1">
      <c r="Q25" s="300"/>
      <c r="R25" s="300"/>
      <c r="S25" s="1961" t="str">
        <f>IF(org=0,"Не определено",org)</f>
        <v>АО СЗ "КМАпроектжилстрой"</v>
      </c>
      <c r="T25" s="1961"/>
      <c r="U25" s="1961"/>
      <c r="V25" s="1961"/>
      <c r="W25" s="1961"/>
      <c r="X25" s="1961"/>
      <c r="Y25" s="1961"/>
      <c r="Z25" s="1961"/>
      <c r="AA25" s="1961"/>
      <c r="AB25" s="1961"/>
      <c r="AC25" s="1961"/>
      <c r="AD25" s="1961"/>
      <c r="AE25" s="1961"/>
      <c r="AF25" s="1961"/>
      <c r="AG25" s="1961"/>
      <c r="AH25" s="1961"/>
      <c r="AI25" s="1154"/>
    </row>
    <row r="26" spans="1:42" ht="14.25" hidden="1" customHeight="1">
      <c r="Q26" s="300"/>
      <c r="R26" s="300"/>
      <c r="S26" s="1197"/>
      <c r="T26" s="286"/>
      <c r="U26" s="286"/>
      <c r="V26" s="242"/>
      <c r="W26" s="242"/>
      <c r="X26" s="242"/>
      <c r="Y26" s="242"/>
      <c r="Z26" s="242"/>
      <c r="AA26" s="242"/>
      <c r="AB26" s="242"/>
      <c r="AC26" s="242"/>
      <c r="AD26" s="242"/>
      <c r="AE26" s="242"/>
      <c r="AF26" s="242"/>
      <c r="AG26" s="242"/>
      <c r="AH26" s="242"/>
      <c r="AI26" s="242"/>
      <c r="AJ26" s="435"/>
    </row>
    <row r="27" spans="1:42" s="1773" customFormat="1" ht="25.5" hidden="1" customHeight="1">
      <c r="A27" s="1286"/>
      <c r="B27" s="1286"/>
      <c r="C27" s="1286"/>
      <c r="D27" s="1286"/>
      <c r="E27" s="1286"/>
      <c r="F27" s="1286"/>
      <c r="G27" s="1286"/>
      <c r="H27" s="1286"/>
      <c r="I27" s="1286"/>
      <c r="J27" s="1286"/>
      <c r="K27" s="1286"/>
      <c r="L27" s="1287"/>
      <c r="M27" s="1286"/>
      <c r="N27" s="1286"/>
      <c r="O27" s="1286"/>
      <c r="S27" s="2067" t="s">
        <v>40</v>
      </c>
      <c r="T27" s="2067"/>
      <c r="U27" s="1290"/>
      <c r="V27" s="2069" t="str">
        <f>IF(TITLE_NAME_OR_PR_CHANGE="",IF(TITLE_NAME_OR_PR="","",TITLE_NAME_OR_PR),TITLE_NAME_OR_PR_CHANGE)</f>
        <v/>
      </c>
      <c r="W27" s="2069"/>
      <c r="X27" s="2069"/>
      <c r="Y27" s="2069"/>
      <c r="Z27" s="2069"/>
      <c r="AA27" s="2069"/>
      <c r="AB27" s="248"/>
      <c r="AC27" s="2069" t="str">
        <f>IF(TITLE_NAME_OR_PR_CHANGE="",IF(TITLE_NAME_OR_PR="","",TITLE_NAME_OR_PR),TITLE_NAME_OR_PR_CHANGE)</f>
        <v/>
      </c>
      <c r="AD27" s="2069"/>
      <c r="AE27" s="2069"/>
      <c r="AF27" s="2069"/>
      <c r="AG27" s="2069"/>
      <c r="AH27" s="2069"/>
      <c r="AI27" s="248"/>
      <c r="AJ27" s="248"/>
      <c r="AK27" s="196"/>
      <c r="AL27" s="292"/>
      <c r="AM27" s="292"/>
      <c r="AN27" s="292"/>
      <c r="AO27" s="292"/>
      <c r="AP27" s="292"/>
    </row>
    <row r="28" spans="1:42" s="1773" customFormat="1" ht="18.75" hidden="1" customHeight="1">
      <c r="A28" s="1286"/>
      <c r="B28" s="1286"/>
      <c r="C28" s="1286"/>
      <c r="D28" s="1286"/>
      <c r="E28" s="1286"/>
      <c r="F28" s="1286"/>
      <c r="G28" s="1286"/>
      <c r="H28" s="1286"/>
      <c r="I28" s="1286"/>
      <c r="J28" s="1286"/>
      <c r="K28" s="1286"/>
      <c r="L28" s="1287"/>
      <c r="M28" s="1286"/>
      <c r="N28" s="1286"/>
      <c r="O28" s="1286"/>
      <c r="S28" s="2067" t="s">
        <v>483</v>
      </c>
      <c r="T28" s="2067"/>
      <c r="U28" s="1290"/>
      <c r="V28" s="2068" t="str">
        <f>IF(TITLE_DATE_CHANGE_PERIOD="",IF(TITLE_DATE_PR="","",TITLE_DATE_PR),TITLE_DATE_CHANGE_PERIOD)</f>
        <v/>
      </c>
      <c r="W28" s="2068"/>
      <c r="X28" s="2068"/>
      <c r="Y28" s="2068"/>
      <c r="Z28" s="2068"/>
      <c r="AA28" s="2068"/>
      <c r="AB28" s="248"/>
      <c r="AC28" s="2068" t="str">
        <f>IF(TITLE_DATE_CHANGE_PERIOD="",IF(TITLE_DATE_PR="","",TITLE_DATE_PR),TITLE_DATE_CHANGE_PERIOD)</f>
        <v/>
      </c>
      <c r="AD28" s="2068"/>
      <c r="AE28" s="2068"/>
      <c r="AF28" s="2068"/>
      <c r="AG28" s="2068"/>
      <c r="AH28" s="2068"/>
      <c r="AI28" s="248"/>
      <c r="AJ28" s="248"/>
      <c r="AK28" s="196"/>
      <c r="AL28" s="292"/>
      <c r="AM28" s="292"/>
      <c r="AN28" s="292"/>
      <c r="AO28" s="292"/>
      <c r="AP28" s="292"/>
    </row>
    <row r="29" spans="1:42" s="1773" customFormat="1" ht="18.75" hidden="1" customHeight="1">
      <c r="A29" s="1286"/>
      <c r="B29" s="1286"/>
      <c r="C29" s="1286"/>
      <c r="D29" s="1286"/>
      <c r="E29" s="1286"/>
      <c r="F29" s="1286"/>
      <c r="G29" s="1286"/>
      <c r="H29" s="1286"/>
      <c r="I29" s="1286"/>
      <c r="J29" s="1286"/>
      <c r="K29" s="1286"/>
      <c r="L29" s="1287"/>
      <c r="M29" s="1286"/>
      <c r="N29" s="1286"/>
      <c r="O29" s="1286"/>
      <c r="S29" s="2067" t="s">
        <v>484</v>
      </c>
      <c r="T29" s="2067"/>
      <c r="U29" s="1290"/>
      <c r="V29" s="2069" t="str">
        <f>IF(TITLE_NUMBER_PR_CHANGE="",IF(TITLE_NUMBER_PR="","",TITLE_NUMBER_PR),TITLE_NUMBER_PR_CHANGE)</f>
        <v/>
      </c>
      <c r="W29" s="2069"/>
      <c r="X29" s="2069"/>
      <c r="Y29" s="2069"/>
      <c r="Z29" s="2069"/>
      <c r="AA29" s="2069"/>
      <c r="AB29" s="248"/>
      <c r="AC29" s="2069" t="str">
        <f>IF(TITLE_NUMBER_PR_CHANGE="",IF(TITLE_NUMBER_PR="","",TITLE_NUMBER_PR),TITLE_NUMBER_PR_CHANGE)</f>
        <v/>
      </c>
      <c r="AD29" s="2069"/>
      <c r="AE29" s="2069"/>
      <c r="AF29" s="2069"/>
      <c r="AG29" s="2069"/>
      <c r="AH29" s="2069"/>
      <c r="AI29" s="248"/>
      <c r="AJ29" s="248"/>
      <c r="AK29" s="196"/>
      <c r="AL29" s="292"/>
      <c r="AM29" s="292"/>
      <c r="AN29" s="292"/>
      <c r="AO29" s="292"/>
      <c r="AP29" s="292"/>
    </row>
    <row r="30" spans="1:42" s="1773" customFormat="1" ht="18.75" hidden="1" customHeight="1">
      <c r="A30" s="1286"/>
      <c r="B30" s="1286"/>
      <c r="C30" s="1286"/>
      <c r="D30" s="1286"/>
      <c r="E30" s="1286"/>
      <c r="F30" s="1286"/>
      <c r="G30" s="1286"/>
      <c r="H30" s="1286"/>
      <c r="I30" s="1286"/>
      <c r="J30" s="1286"/>
      <c r="K30" s="1286"/>
      <c r="L30" s="1287"/>
      <c r="M30" s="1286"/>
      <c r="N30" s="1286"/>
      <c r="O30" s="1286"/>
      <c r="S30" s="2067" t="s">
        <v>41</v>
      </c>
      <c r="T30" s="2067"/>
      <c r="U30" s="1290"/>
      <c r="V30" s="2069" t="str">
        <f>IF(TITLE_IST_PUB_CHANGE="",IF(TITLE_IST_PUB="","",TITLE_IST_PUB),TITLE_IST_PUB_CHANGE)</f>
        <v/>
      </c>
      <c r="W30" s="2069"/>
      <c r="X30" s="2069"/>
      <c r="Y30" s="2069"/>
      <c r="Z30" s="2069"/>
      <c r="AA30" s="2069"/>
      <c r="AB30" s="248"/>
      <c r="AC30" s="2069" t="str">
        <f>IF(TITLE_IST_PUB_CHANGE="",IF(TITLE_IST_PUB="","",TITLE_IST_PUB),TITLE_IST_PUB_CHANGE)</f>
        <v/>
      </c>
      <c r="AD30" s="2069"/>
      <c r="AE30" s="2069"/>
      <c r="AF30" s="2069"/>
      <c r="AG30" s="2069"/>
      <c r="AH30" s="2069"/>
      <c r="AI30" s="248"/>
      <c r="AJ30" s="248"/>
      <c r="AK30" s="196"/>
      <c r="AL30" s="292"/>
      <c r="AM30" s="292"/>
      <c r="AN30" s="292"/>
      <c r="AO30" s="292"/>
      <c r="AP30" s="292"/>
    </row>
    <row r="31" spans="1:42" ht="14.25" hidden="1" customHeight="1">
      <c r="Q31" s="300"/>
      <c r="R31" s="300"/>
      <c r="S31" s="1197"/>
      <c r="T31" s="286"/>
      <c r="U31" s="286"/>
      <c r="V31" s="242"/>
      <c r="W31" s="242"/>
      <c r="X31" s="242"/>
      <c r="Y31" s="242"/>
      <c r="Z31" s="242"/>
      <c r="AA31" s="242"/>
      <c r="AB31" s="242"/>
      <c r="AC31" s="242"/>
      <c r="AD31" s="242"/>
      <c r="AE31" s="242"/>
      <c r="AF31" s="242"/>
      <c r="AG31" s="242"/>
      <c r="AH31" s="242"/>
      <c r="AI31" s="242"/>
      <c r="AJ31" s="435"/>
    </row>
    <row r="32" spans="1:42" s="1773" customFormat="1" ht="18.75" hidden="1" customHeight="1">
      <c r="A32" s="1286"/>
      <c r="B32" s="1286"/>
      <c r="C32" s="1286"/>
      <c r="D32" s="1286"/>
      <c r="E32" s="1286"/>
      <c r="F32" s="1286"/>
      <c r="G32" s="1286"/>
      <c r="H32" s="1286"/>
      <c r="I32" s="1286"/>
      <c r="J32" s="1286"/>
      <c r="K32" s="1286"/>
      <c r="L32" s="1287"/>
      <c r="M32" s="1286"/>
      <c r="N32" s="1286"/>
      <c r="O32" s="1286"/>
      <c r="S32" s="2067" t="s">
        <v>485</v>
      </c>
      <c r="T32" s="2067"/>
      <c r="U32" s="1290"/>
      <c r="V32" s="2068" t="str">
        <f>IF(TITLE_DATE_CHANGE_PERIOD="",IF(TITLE_DATE_PR="","",TITLE_DATE_PR),TITLE_DATE_CHANGE_PERIOD)</f>
        <v/>
      </c>
      <c r="W32" s="2068"/>
      <c r="X32" s="2068"/>
      <c r="Y32" s="2068"/>
      <c r="Z32" s="2068"/>
      <c r="AA32" s="2068"/>
      <c r="AB32" s="248"/>
      <c r="AC32" s="2068" t="str">
        <f>IF(TITLE_DATE_CHANGE_PERIOD="",IF(TITLE_DATE_PR="","",TITLE_DATE_PR),TITLE_DATE_CHANGE_PERIOD)</f>
        <v/>
      </c>
      <c r="AD32" s="2068"/>
      <c r="AE32" s="2068"/>
      <c r="AF32" s="2068"/>
      <c r="AG32" s="2068"/>
      <c r="AH32" s="2068"/>
      <c r="AI32" s="248"/>
      <c r="AJ32" s="248"/>
      <c r="AK32" s="196"/>
      <c r="AL32" s="292"/>
      <c r="AM32" s="292"/>
      <c r="AN32" s="292"/>
      <c r="AO32" s="292"/>
      <c r="AP32" s="292"/>
    </row>
    <row r="33" spans="1:42" s="1773" customFormat="1" ht="18.75" hidden="1" customHeight="1">
      <c r="A33" s="1286"/>
      <c r="B33" s="1286"/>
      <c r="C33" s="1286"/>
      <c r="D33" s="1286"/>
      <c r="E33" s="1286"/>
      <c r="F33" s="1286"/>
      <c r="G33" s="1286"/>
      <c r="H33" s="1286"/>
      <c r="I33" s="1286"/>
      <c r="J33" s="1286"/>
      <c r="K33" s="1286"/>
      <c r="L33" s="1287"/>
      <c r="M33" s="1286"/>
      <c r="N33" s="1286"/>
      <c r="O33" s="1286"/>
      <c r="S33" s="2067" t="s">
        <v>486</v>
      </c>
      <c r="T33" s="2067"/>
      <c r="U33" s="1290"/>
      <c r="V33" s="2069" t="str">
        <f>IF(TITLE_NUMBER_PR_CHANGE="",IF(TITLE_NUMBER_PR="","",TITLE_NUMBER_PR),TITLE_NUMBER_PR_CHANGE)</f>
        <v/>
      </c>
      <c r="W33" s="2069"/>
      <c r="X33" s="2069"/>
      <c r="Y33" s="2069"/>
      <c r="Z33" s="2069"/>
      <c r="AA33" s="2069"/>
      <c r="AB33" s="248"/>
      <c r="AC33" s="2069" t="str">
        <f>IF(TITLE_NUMBER_PR_CHANGE="",IF(TITLE_NUMBER_PR="","",TITLE_NUMBER_PR),TITLE_NUMBER_PR_CHANGE)</f>
        <v/>
      </c>
      <c r="AD33" s="2069"/>
      <c r="AE33" s="2069"/>
      <c r="AF33" s="2069"/>
      <c r="AG33" s="2069"/>
      <c r="AH33" s="2069"/>
      <c r="AI33" s="248"/>
      <c r="AJ33" s="248"/>
      <c r="AK33" s="196"/>
      <c r="AL33" s="292"/>
      <c r="AM33" s="292"/>
      <c r="AN33" s="292"/>
      <c r="AO33" s="292"/>
      <c r="AP33" s="292"/>
    </row>
    <row r="34" spans="1:42" s="1773" customFormat="1" ht="0.75" customHeight="1">
      <c r="A34" s="1286"/>
      <c r="B34" s="1286"/>
      <c r="C34" s="1286"/>
      <c r="D34" s="1286"/>
      <c r="E34" s="1286"/>
      <c r="F34" s="1286"/>
      <c r="G34" s="1286"/>
      <c r="H34" s="1286"/>
      <c r="I34" s="1286"/>
      <c r="J34" s="1286"/>
      <c r="K34" s="1286"/>
      <c r="L34" s="1287"/>
      <c r="M34" s="1286"/>
      <c r="N34" s="1286"/>
      <c r="O34" s="1286"/>
      <c r="S34" s="244"/>
      <c r="T34" s="244"/>
      <c r="U34" s="1400"/>
      <c r="V34" s="248"/>
      <c r="W34" s="248"/>
      <c r="X34" s="248"/>
      <c r="Y34" s="248"/>
      <c r="Z34" s="248"/>
      <c r="AA34" s="248"/>
      <c r="AB34" s="194" t="s">
        <v>487</v>
      </c>
      <c r="AC34" s="248"/>
      <c r="AD34" s="248"/>
      <c r="AE34" s="248"/>
      <c r="AF34" s="248"/>
      <c r="AG34" s="248"/>
      <c r="AH34" s="248"/>
      <c r="AI34" s="194" t="s">
        <v>487</v>
      </c>
      <c r="AL34" s="292"/>
      <c r="AM34" s="292"/>
      <c r="AN34" s="292"/>
      <c r="AO34" s="292"/>
      <c r="AP34" s="292"/>
    </row>
    <row r="35" spans="1:42" ht="14.25" customHeight="1">
      <c r="Q35" s="300"/>
      <c r="R35" s="300"/>
      <c r="S35" s="1197"/>
      <c r="T35" s="286"/>
      <c r="U35" s="1155"/>
      <c r="V35" s="2087"/>
      <c r="W35" s="2087"/>
      <c r="X35" s="2087"/>
      <c r="Y35" s="2087"/>
      <c r="Z35" s="2087"/>
      <c r="AA35" s="2087"/>
      <c r="AB35" s="2087"/>
      <c r="AC35" s="2087"/>
      <c r="AD35" s="2087"/>
      <c r="AE35" s="2087"/>
      <c r="AF35" s="2087"/>
      <c r="AG35" s="2087"/>
      <c r="AH35" s="2087"/>
      <c r="AI35" s="2087"/>
    </row>
    <row r="36" spans="1:42" ht="14.25" customHeight="1">
      <c r="Q36" s="300"/>
      <c r="R36" s="300"/>
      <c r="S36" s="1874" t="s">
        <v>291</v>
      </c>
      <c r="T36" s="1874"/>
      <c r="U36" s="1874"/>
      <c r="V36" s="1874"/>
      <c r="W36" s="1874"/>
      <c r="X36" s="1874"/>
      <c r="Y36" s="1874"/>
      <c r="Z36" s="1874"/>
      <c r="AA36" s="1874"/>
      <c r="AB36" s="1874"/>
      <c r="AC36" s="1874"/>
      <c r="AD36" s="1874"/>
      <c r="AE36" s="1874"/>
      <c r="AF36" s="1874"/>
      <c r="AG36" s="1874"/>
      <c r="AH36" s="1874"/>
      <c r="AI36" s="1874"/>
      <c r="AJ36" s="1874"/>
      <c r="AK36" s="1874" t="s">
        <v>292</v>
      </c>
    </row>
    <row r="37" spans="1:42" ht="14.25" customHeight="1">
      <c r="Q37" s="300"/>
      <c r="R37" s="300"/>
      <c r="S37" s="2088" t="s">
        <v>88</v>
      </c>
      <c r="T37" s="1959" t="s">
        <v>488</v>
      </c>
      <c r="U37" s="215"/>
      <c r="V37" s="2089" t="s">
        <v>489</v>
      </c>
      <c r="W37" s="2090"/>
      <c r="X37" s="2090"/>
      <c r="Y37" s="2090"/>
      <c r="Z37" s="2090"/>
      <c r="AA37" s="2091"/>
      <c r="AB37" s="2092" t="s">
        <v>490</v>
      </c>
      <c r="AC37" s="2089" t="s">
        <v>489</v>
      </c>
      <c r="AD37" s="2090"/>
      <c r="AE37" s="2090"/>
      <c r="AF37" s="2090"/>
      <c r="AG37" s="2090"/>
      <c r="AH37" s="2091"/>
      <c r="AI37" s="2092" t="s">
        <v>491</v>
      </c>
      <c r="AJ37" s="2095" t="s">
        <v>492</v>
      </c>
      <c r="AK37" s="1874"/>
    </row>
    <row r="38" spans="1:42" ht="33.75" customHeight="1">
      <c r="Q38" s="300"/>
      <c r="R38" s="300"/>
      <c r="S38" s="2088"/>
      <c r="T38" s="1959"/>
      <c r="U38" s="939"/>
      <c r="V38" s="1395" t="s">
        <v>1684</v>
      </c>
      <c r="W38" s="1856" t="s">
        <v>495</v>
      </c>
      <c r="X38" s="1855"/>
      <c r="Y38" s="1856" t="s">
        <v>496</v>
      </c>
      <c r="Z38" s="1861"/>
      <c r="AA38" s="1855"/>
      <c r="AB38" s="2093"/>
      <c r="AC38" s="1395" t="s">
        <v>1684</v>
      </c>
      <c r="AD38" s="1856" t="s">
        <v>495</v>
      </c>
      <c r="AE38" s="1855"/>
      <c r="AF38" s="1856" t="s">
        <v>496</v>
      </c>
      <c r="AG38" s="1861"/>
      <c r="AH38" s="1855"/>
      <c r="AI38" s="2093"/>
      <c r="AJ38" s="2096"/>
      <c r="AK38" s="1874"/>
    </row>
    <row r="39" spans="1:42" ht="86.25" customHeight="1">
      <c r="A39" s="1288"/>
      <c r="B39" s="1288" t="s">
        <v>140</v>
      </c>
      <c r="C39" s="1288" t="s">
        <v>141</v>
      </c>
      <c r="D39" s="1288" t="s">
        <v>142</v>
      </c>
      <c r="E39" s="1282" t="s">
        <v>497</v>
      </c>
      <c r="F39" s="1282" t="s">
        <v>498</v>
      </c>
      <c r="G39" s="1282" t="s">
        <v>499</v>
      </c>
      <c r="H39" s="1282"/>
      <c r="I39" s="1282" t="s">
        <v>1685</v>
      </c>
      <c r="J39" s="1282" t="s">
        <v>502</v>
      </c>
      <c r="K39" s="1282" t="s">
        <v>1686</v>
      </c>
      <c r="L39" s="1282" t="s">
        <v>478</v>
      </c>
      <c r="Q39" s="300"/>
      <c r="R39" s="300"/>
      <c r="S39" s="2088"/>
      <c r="T39" s="1959"/>
      <c r="U39" s="216"/>
      <c r="V39" s="1395" t="s">
        <v>2065</v>
      </c>
      <c r="W39" s="1130" t="s">
        <v>2066</v>
      </c>
      <c r="X39" s="1130" t="s">
        <v>1689</v>
      </c>
      <c r="Y39" s="1401" t="s">
        <v>506</v>
      </c>
      <c r="Z39" s="1965" t="s">
        <v>507</v>
      </c>
      <c r="AA39" s="1979"/>
      <c r="AB39" s="2094"/>
      <c r="AC39" s="1395" t="s">
        <v>2065</v>
      </c>
      <c r="AD39" s="1130" t="s">
        <v>2066</v>
      </c>
      <c r="AE39" s="1130" t="s">
        <v>1689</v>
      </c>
      <c r="AF39" s="1401" t="s">
        <v>506</v>
      </c>
      <c r="AG39" s="1965" t="s">
        <v>507</v>
      </c>
      <c r="AH39" s="1979"/>
      <c r="AI39" s="2094"/>
      <c r="AJ39" s="2097"/>
      <c r="AK39" s="1874"/>
    </row>
    <row r="40" spans="1:42" s="1558" customFormat="1" ht="11.25" hidden="1" customHeight="1">
      <c r="A40" s="1288"/>
      <c r="B40" s="1288"/>
      <c r="C40" s="1288"/>
      <c r="D40" s="1288"/>
      <c r="E40" s="1288"/>
      <c r="F40" s="1288"/>
      <c r="G40" s="1288"/>
      <c r="H40" s="1288"/>
      <c r="I40" s="1288"/>
      <c r="J40" s="1288"/>
      <c r="K40" s="1288"/>
      <c r="L40" s="1282"/>
      <c r="M40" s="1280"/>
      <c r="N40" s="1280"/>
      <c r="O40" s="1280"/>
      <c r="P40" s="1157"/>
      <c r="Q40" s="1158"/>
      <c r="R40" s="1173">
        <v>1</v>
      </c>
      <c r="S40" s="1199" t="s">
        <v>109</v>
      </c>
      <c r="T40" s="1174" t="s">
        <v>110</v>
      </c>
      <c r="U40" s="1156" t="str">
        <f ca="1">OFFSET(U40,0,-1)</f>
        <v>2</v>
      </c>
      <c r="V40" s="1394">
        <f ca="1">OFFSET(V40,0,-1)+1</f>
        <v>3</v>
      </c>
      <c r="W40" s="1394">
        <f ca="1">OFFSET(W40,0,-1)+1</f>
        <v>4</v>
      </c>
      <c r="X40" s="1394">
        <f ca="1">OFFSET(X40,0,-1)+1</f>
        <v>5</v>
      </c>
      <c r="Y40" s="1394">
        <f ca="1">OFFSET(Y40,0,-1)+1</f>
        <v>6</v>
      </c>
      <c r="Z40" s="2086">
        <f ca="1">OFFSET(Z40,0,-1)+1</f>
        <v>7</v>
      </c>
      <c r="AA40" s="2086"/>
      <c r="AB40" s="1394">
        <f ca="1">OFFSET(AB40,0,-2)+1</f>
        <v>8</v>
      </c>
      <c r="AC40" s="1394">
        <f ca="1">OFFSET(AC40,0,-1)+1</f>
        <v>9</v>
      </c>
      <c r="AD40" s="1394">
        <f ca="1">OFFSET(AD40,0,-1)+1</f>
        <v>10</v>
      </c>
      <c r="AE40" s="1394">
        <f ca="1">OFFSET(AE40,0,-1)+1</f>
        <v>11</v>
      </c>
      <c r="AF40" s="1394">
        <f ca="1">OFFSET(AF40,0,-1)+1</f>
        <v>12</v>
      </c>
      <c r="AG40" s="2086">
        <f ca="1">OFFSET(AG40,0,-1)+1</f>
        <v>13</v>
      </c>
      <c r="AH40" s="2086"/>
      <c r="AI40" s="1394">
        <f ca="1">OFFSET(AI40,0,-2)+1</f>
        <v>14</v>
      </c>
      <c r="AJ40" s="1156">
        <f ca="1">OFFSET(AJ40,0,-1)</f>
        <v>14</v>
      </c>
      <c r="AK40" s="1394">
        <f ca="1">OFFSET(AK40,0,-1)+1</f>
        <v>15</v>
      </c>
      <c r="AL40" s="437"/>
      <c r="AM40" s="437"/>
      <c r="AN40" s="437"/>
      <c r="AO40" s="437"/>
      <c r="AP40" s="437"/>
    </row>
    <row r="41" spans="1:42" ht="23.25" customHeight="1">
      <c r="A41" s="1281" t="s">
        <v>257</v>
      </c>
      <c r="B41" s="1281"/>
      <c r="C41" s="1281"/>
      <c r="D41" s="1281"/>
      <c r="E41" s="2076">
        <v>1</v>
      </c>
      <c r="F41" s="1281"/>
      <c r="G41" s="1281"/>
      <c r="H41" s="1281"/>
      <c r="I41" s="1281"/>
      <c r="J41" s="1281"/>
      <c r="K41" s="1281"/>
      <c r="L41" s="1282"/>
      <c r="M41" s="1283"/>
      <c r="N41" s="1283"/>
      <c r="O41" s="1283"/>
      <c r="P41" s="282"/>
      <c r="Q41" s="281"/>
      <c r="R41" s="276"/>
      <c r="S41" s="1405">
        <f>INDEX(PT_DIFFERENTIATION_NUM_NTAR,MATCH(A41,PT_DIFFERENTIATION_NTAR_ID,0))</f>
        <v>0</v>
      </c>
      <c r="T41" s="212" t="s">
        <v>128</v>
      </c>
      <c r="U41" s="214"/>
      <c r="V41" s="2070"/>
      <c r="W41" s="2071"/>
      <c r="X41" s="2071"/>
      <c r="Y41" s="2071"/>
      <c r="Z41" s="2071"/>
      <c r="AA41" s="2071"/>
      <c r="AB41" s="2072"/>
      <c r="AC41" s="2070" t="str">
        <f>INDEX(PT_DIFFERENTIATION_NTAR,MATCH(A41,PT_DIFFERENTIATION_NTAR_ID,0))</f>
        <v/>
      </c>
      <c r="AD41" s="2071"/>
      <c r="AE41" s="2071"/>
      <c r="AF41" s="2071"/>
      <c r="AG41" s="2071"/>
      <c r="AH41" s="2071"/>
      <c r="AI41" s="2071"/>
      <c r="AJ41" s="2072"/>
      <c r="AK41" s="117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426"/>
      <c r="AN41" s="426" t="str">
        <f t="shared" ref="AN41:AN53" si="1">IF(T41="","",T41)</f>
        <v>Наименование тарифа</v>
      </c>
      <c r="AO41" s="426"/>
      <c r="AP41" s="426"/>
    </row>
    <row r="42" spans="1:42" ht="23.25" customHeight="1">
      <c r="A42" s="1281" t="s">
        <v>257</v>
      </c>
      <c r="B42" s="1281" t="s">
        <v>258</v>
      </c>
      <c r="C42" s="1281"/>
      <c r="D42" s="1281"/>
      <c r="E42" s="2077"/>
      <c r="F42" s="2076">
        <v>1</v>
      </c>
      <c r="G42" s="1281"/>
      <c r="H42" s="1281"/>
      <c r="I42" s="1281"/>
      <c r="J42" s="1281"/>
      <c r="K42" s="1281"/>
      <c r="L42" s="1282"/>
      <c r="M42" s="1283"/>
      <c r="N42" s="1283"/>
      <c r="O42" s="1283"/>
      <c r="P42" s="1399"/>
      <c r="Q42" s="273"/>
      <c r="R42" s="274"/>
      <c r="S42" s="1405" t="str">
        <f>INDEX(PT_DIFFERENTIATION_NUM_TER,MATCH(B42,PT_DIFFERENTIATION_TER_ID,0))</f>
        <v>.</v>
      </c>
      <c r="T42" s="224" t="s">
        <v>460</v>
      </c>
      <c r="U42" s="214"/>
      <c r="V42" s="2070"/>
      <c r="W42" s="2071"/>
      <c r="X42" s="2071"/>
      <c r="Y42" s="2071"/>
      <c r="Z42" s="2071"/>
      <c r="AA42" s="2071"/>
      <c r="AB42" s="2072"/>
      <c r="AC42" s="2070" t="str">
        <f>INDEX(PT_DIFFERENTIATION_TER,MATCH(B42,PT_DIFFERENTIATION_TER_ID,0))</f>
        <v/>
      </c>
      <c r="AD42" s="2071"/>
      <c r="AE42" s="2071"/>
      <c r="AF42" s="2071"/>
      <c r="AG42" s="2071"/>
      <c r="AH42" s="2071"/>
      <c r="AI42" s="2071"/>
      <c r="AJ42" s="2072"/>
      <c r="AK42" s="1179" t="s">
        <v>461</v>
      </c>
      <c r="AM42" s="426"/>
      <c r="AN42" s="426" t="str">
        <f t="shared" si="1"/>
        <v>Территория действия тарифа</v>
      </c>
      <c r="AO42" s="426"/>
      <c r="AP42" s="426"/>
    </row>
    <row r="43" spans="1:42" ht="23.25" customHeight="1">
      <c r="A43" s="1281" t="s">
        <v>257</v>
      </c>
      <c r="B43" s="1281" t="s">
        <v>258</v>
      </c>
      <c r="C43" s="1281" t="s">
        <v>259</v>
      </c>
      <c r="D43" s="1281"/>
      <c r="E43" s="2077"/>
      <c r="F43" s="2077"/>
      <c r="G43" s="2076">
        <v>1</v>
      </c>
      <c r="H43" s="1281"/>
      <c r="I43" s="1281"/>
      <c r="J43" s="1281"/>
      <c r="K43" s="1281"/>
      <c r="L43" s="1282"/>
      <c r="M43" s="1283"/>
      <c r="N43" s="1283"/>
      <c r="O43" s="1283"/>
      <c r="P43" s="275"/>
      <c r="Q43" s="273"/>
      <c r="R43" s="274"/>
      <c r="S43" s="1405" t="str">
        <f>INDEX(PT_DIFFERENTIATION_NUM_CS,MATCH(C43,PT_DIFFERENTIATION_CS_ID,0))</f>
        <v>..</v>
      </c>
      <c r="T43" s="225" t="s">
        <v>2063</v>
      </c>
      <c r="U43" s="214"/>
      <c r="V43" s="2070"/>
      <c r="W43" s="2071"/>
      <c r="X43" s="2071"/>
      <c r="Y43" s="2071"/>
      <c r="Z43" s="2071"/>
      <c r="AA43" s="2071"/>
      <c r="AB43" s="2072"/>
      <c r="AC43" s="2070" t="str">
        <f>INDEX(PT_DIFFERENTIATION_CS,MATCH(C43,PT_DIFFERENTIATION_CS_ID,0))</f>
        <v/>
      </c>
      <c r="AD43" s="2071"/>
      <c r="AE43" s="2071"/>
      <c r="AF43" s="2071"/>
      <c r="AG43" s="2071"/>
      <c r="AH43" s="2071"/>
      <c r="AI43" s="2071"/>
      <c r="AJ43" s="2072"/>
      <c r="AK43" s="1179" t="s">
        <v>2064</v>
      </c>
      <c r="AM43" s="426"/>
      <c r="AN43" s="426" t="str">
        <f t="shared" si="1"/>
        <v>Наименование централизованной системы водоотведения</v>
      </c>
      <c r="AO43" s="426"/>
      <c r="AP43" s="426"/>
    </row>
    <row r="44" spans="1:42" ht="23.25" customHeight="1">
      <c r="A44" s="1281" t="s">
        <v>257</v>
      </c>
      <c r="B44" s="1281" t="s">
        <v>258</v>
      </c>
      <c r="C44" s="1281" t="s">
        <v>259</v>
      </c>
      <c r="D44" s="1281" t="s">
        <v>2067</v>
      </c>
      <c r="E44" s="2077"/>
      <c r="F44" s="2077"/>
      <c r="G44" s="2077"/>
      <c r="H44" s="2077"/>
      <c r="I44" s="2078" t="str">
        <f>S43&amp;".1"</f>
        <v>...1</v>
      </c>
      <c r="J44" s="1281"/>
      <c r="K44" s="1281"/>
      <c r="L44" s="1282"/>
      <c r="P44" s="1995">
        <v>1</v>
      </c>
      <c r="Q44" s="1393"/>
      <c r="R44" s="277"/>
      <c r="S44" s="1405" t="str">
        <f>$I44</f>
        <v>...1</v>
      </c>
      <c r="T44" s="200" t="s">
        <v>1678</v>
      </c>
      <c r="U44" s="214"/>
      <c r="V44" s="2176"/>
      <c r="W44" s="2177"/>
      <c r="X44" s="2177"/>
      <c r="Y44" s="2177"/>
      <c r="Z44" s="2177"/>
      <c r="AA44" s="2177"/>
      <c r="AB44" s="2178"/>
      <c r="AC44" s="2179"/>
      <c r="AD44" s="2180"/>
      <c r="AE44" s="2180"/>
      <c r="AF44" s="2180"/>
      <c r="AG44" s="2180"/>
      <c r="AH44" s="2180"/>
      <c r="AI44" s="2180"/>
      <c r="AJ44" s="2181"/>
      <c r="AK44" s="1179" t="s">
        <v>1679</v>
      </c>
      <c r="AM44" s="426"/>
      <c r="AN44" s="426" t="str">
        <f t="shared" si="1"/>
        <v>Наименование признака дифференциации</v>
      </c>
      <c r="AO44" s="426"/>
      <c r="AP44" s="426"/>
    </row>
    <row r="45" spans="1:42" ht="23.25" customHeight="1">
      <c r="A45" s="1281" t="s">
        <v>257</v>
      </c>
      <c r="B45" s="1281" t="s">
        <v>258</v>
      </c>
      <c r="C45" s="1281" t="s">
        <v>259</v>
      </c>
      <c r="D45" s="1281" t="s">
        <v>2067</v>
      </c>
      <c r="E45" s="2077"/>
      <c r="F45" s="2077"/>
      <c r="G45" s="2077"/>
      <c r="H45" s="2077"/>
      <c r="I45" s="2079"/>
      <c r="J45" s="2078" t="str">
        <f>I44&amp;".1"</f>
        <v>...1.1</v>
      </c>
      <c r="K45" s="1281"/>
      <c r="L45" s="1282" t="s">
        <v>469</v>
      </c>
      <c r="P45" s="1995"/>
      <c r="Q45" s="1995">
        <v>1</v>
      </c>
      <c r="R45" s="278"/>
      <c r="S45" s="1405" t="str">
        <f>$J45</f>
        <v>...1.1</v>
      </c>
      <c r="T45" s="201" t="s">
        <v>470</v>
      </c>
      <c r="U45" s="214"/>
      <c r="V45" s="2064"/>
      <c r="W45" s="2065"/>
      <c r="X45" s="2065"/>
      <c r="Y45" s="2065"/>
      <c r="Z45" s="2065"/>
      <c r="AA45" s="2065"/>
      <c r="AB45" s="2066"/>
      <c r="AC45" s="2064"/>
      <c r="AD45" s="2065"/>
      <c r="AE45" s="2065"/>
      <c r="AF45" s="2065"/>
      <c r="AG45" s="2065"/>
      <c r="AH45" s="2065"/>
      <c r="AI45" s="2065"/>
      <c r="AJ45" s="2066"/>
      <c r="AK45" s="1228" t="s">
        <v>1680</v>
      </c>
      <c r="AM45" s="426"/>
      <c r="AN45" s="426" t="str">
        <f t="shared" si="1"/>
        <v>Группа потребителей</v>
      </c>
      <c r="AO45" s="426"/>
      <c r="AP45" s="426"/>
    </row>
    <row r="46" spans="1:42" ht="23.25" customHeight="1">
      <c r="A46" s="1281" t="s">
        <v>257</v>
      </c>
      <c r="B46" s="1281" t="s">
        <v>258</v>
      </c>
      <c r="C46" s="1281" t="s">
        <v>259</v>
      </c>
      <c r="D46" s="1281" t="s">
        <v>2067</v>
      </c>
      <c r="E46" s="2077"/>
      <c r="F46" s="2077"/>
      <c r="G46" s="2077"/>
      <c r="H46" s="2077"/>
      <c r="I46" s="2079"/>
      <c r="J46" s="2079"/>
      <c r="K46" s="2078" t="str">
        <f>J45&amp;".1"</f>
        <v>...1.1.1</v>
      </c>
      <c r="L46" s="1282"/>
      <c r="P46" s="1995"/>
      <c r="Q46" s="1995"/>
      <c r="R46" s="278">
        <v>1</v>
      </c>
      <c r="S46" s="1405" t="str">
        <f>$K46</f>
        <v>...1.1.1</v>
      </c>
      <c r="T46" s="1354"/>
      <c r="U46" s="214"/>
      <c r="V46" s="1278"/>
      <c r="W46" s="1278"/>
      <c r="X46" s="1279"/>
      <c r="Y46" s="2074"/>
      <c r="Z46" s="2073" t="s">
        <v>59</v>
      </c>
      <c r="AA46" s="2074"/>
      <c r="AB46" s="2073" t="s">
        <v>59</v>
      </c>
      <c r="AC46" s="664"/>
      <c r="AD46" s="664"/>
      <c r="AE46" s="1178"/>
      <c r="AF46" s="2080"/>
      <c r="AG46" s="1885" t="s">
        <v>59</v>
      </c>
      <c r="AH46" s="2082"/>
      <c r="AI46" s="1885" t="s">
        <v>57</v>
      </c>
      <c r="AJ46" s="1355"/>
      <c r="AK46" s="2182"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437" t="e">
        <f ca="1">STRCHECKDATE(V47:AJ47)</f>
        <v>#NAME?</v>
      </c>
      <c r="AM46" s="426"/>
      <c r="AN46" s="426" t="str">
        <f t="shared" si="1"/>
        <v/>
      </c>
      <c r="AO46" s="426"/>
      <c r="AP46" s="426"/>
    </row>
    <row r="47" spans="1:42" ht="0" hidden="1" customHeight="1">
      <c r="A47" s="1281" t="s">
        <v>257</v>
      </c>
      <c r="B47" s="1281" t="s">
        <v>258</v>
      </c>
      <c r="C47" s="1281" t="s">
        <v>259</v>
      </c>
      <c r="D47" s="1281" t="s">
        <v>2067</v>
      </c>
      <c r="E47" s="2077"/>
      <c r="F47" s="2077"/>
      <c r="G47" s="2077"/>
      <c r="H47" s="2077"/>
      <c r="I47" s="2079"/>
      <c r="J47" s="2079"/>
      <c r="K47" s="2078"/>
      <c r="L47" s="1282"/>
      <c r="P47" s="1995"/>
      <c r="Q47" s="1995"/>
      <c r="R47" s="278"/>
      <c r="S47" s="1402"/>
      <c r="T47" s="214"/>
      <c r="U47" s="214"/>
      <c r="V47" s="1278"/>
      <c r="W47" s="1278"/>
      <c r="X47" s="250" t="str">
        <f>Y46&amp;"-"&amp;AA46</f>
        <v>-</v>
      </c>
      <c r="Y47" s="2073"/>
      <c r="Z47" s="2073"/>
      <c r="AA47" s="2073"/>
      <c r="AB47" s="2073"/>
      <c r="AC47" s="246"/>
      <c r="AD47" s="246"/>
      <c r="AE47" s="250" t="str">
        <f>AF46&amp;"-"&amp;AH46</f>
        <v>-</v>
      </c>
      <c r="AF47" s="2081"/>
      <c r="AG47" s="1885"/>
      <c r="AH47" s="2083"/>
      <c r="AI47" s="1885"/>
      <c r="AJ47" s="1356"/>
      <c r="AK47" s="2182"/>
      <c r="AM47" s="426"/>
      <c r="AN47" s="426" t="str">
        <f t="shared" si="1"/>
        <v/>
      </c>
      <c r="AO47" s="426"/>
      <c r="AP47" s="426"/>
    </row>
    <row r="48" spans="1:42" ht="21" customHeight="1">
      <c r="A48" s="1281" t="s">
        <v>257</v>
      </c>
      <c r="B48" s="1281" t="s">
        <v>258</v>
      </c>
      <c r="C48" s="1281" t="s">
        <v>259</v>
      </c>
      <c r="D48" s="1281" t="s">
        <v>2067</v>
      </c>
      <c r="E48" s="2077"/>
      <c r="F48" s="2077"/>
      <c r="G48" s="2077"/>
      <c r="H48" s="2077"/>
      <c r="I48" s="2079"/>
      <c r="J48" s="2078"/>
      <c r="K48" s="1281"/>
      <c r="L48" s="1282"/>
      <c r="P48" s="1995"/>
      <c r="Q48" s="1995"/>
      <c r="R48" s="277"/>
      <c r="S48" s="1200"/>
      <c r="T48" s="202" t="s">
        <v>1681</v>
      </c>
      <c r="U48" s="291"/>
      <c r="V48" s="291"/>
      <c r="W48" s="291"/>
      <c r="X48" s="291"/>
      <c r="Y48" s="291"/>
      <c r="Z48" s="291"/>
      <c r="AA48" s="291"/>
      <c r="AB48" s="291"/>
      <c r="AC48" s="291"/>
      <c r="AD48" s="291"/>
      <c r="AE48" s="291"/>
      <c r="AF48" s="291"/>
      <c r="AG48" s="291"/>
      <c r="AH48" s="291"/>
      <c r="AI48" s="291"/>
      <c r="AJ48" s="291"/>
      <c r="AK48" s="1179" t="s">
        <v>1682</v>
      </c>
      <c r="AM48" s="426"/>
      <c r="AN48" s="426" t="str">
        <f t="shared" si="1"/>
        <v>Добавить значение признака дифференциации</v>
      </c>
      <c r="AO48" s="426"/>
      <c r="AP48" s="426"/>
    </row>
    <row r="49" spans="1:42" ht="21" customHeight="1">
      <c r="A49" s="1281" t="s">
        <v>257</v>
      </c>
      <c r="B49" s="1281" t="s">
        <v>258</v>
      </c>
      <c r="C49" s="1281" t="s">
        <v>259</v>
      </c>
      <c r="D49" s="1281" t="s">
        <v>2067</v>
      </c>
      <c r="E49" s="2077"/>
      <c r="F49" s="2077"/>
      <c r="G49" s="2077"/>
      <c r="H49" s="2077"/>
      <c r="I49" s="2078"/>
      <c r="J49" s="1281"/>
      <c r="K49" s="1281"/>
      <c r="L49" s="1282"/>
      <c r="P49" s="1995"/>
      <c r="Q49" s="1393"/>
      <c r="R49" s="277"/>
      <c r="S49" s="1200"/>
      <c r="T49" s="288" t="s">
        <v>475</v>
      </c>
      <c r="U49" s="291"/>
      <c r="V49" s="291"/>
      <c r="W49" s="291"/>
      <c r="X49" s="291"/>
      <c r="Y49" s="291"/>
      <c r="Z49" s="291"/>
      <c r="AA49" s="291"/>
      <c r="AB49" s="290"/>
      <c r="AC49" s="291"/>
      <c r="AD49" s="291"/>
      <c r="AE49" s="291"/>
      <c r="AF49" s="291"/>
      <c r="AG49" s="291"/>
      <c r="AH49" s="291"/>
      <c r="AI49" s="290"/>
      <c r="AJ49" s="291"/>
      <c r="AK49" s="1357"/>
      <c r="AM49" s="426"/>
      <c r="AN49" s="426" t="str">
        <f t="shared" si="1"/>
        <v>Добавить группу потребителей</v>
      </c>
      <c r="AO49" s="426"/>
      <c r="AP49" s="426"/>
    </row>
    <row r="50" spans="1:42" ht="21" customHeight="1">
      <c r="A50" s="1281" t="s">
        <v>257</v>
      </c>
      <c r="B50" s="1281" t="s">
        <v>258</v>
      </c>
      <c r="C50" s="1281" t="s">
        <v>259</v>
      </c>
      <c r="D50" s="1281" t="s">
        <v>2067</v>
      </c>
      <c r="E50" s="2077"/>
      <c r="F50" s="2077"/>
      <c r="G50" s="2077"/>
      <c r="H50" s="2076"/>
      <c r="I50" s="1281"/>
      <c r="J50" s="1281"/>
      <c r="K50" s="1281"/>
      <c r="L50" s="1282"/>
      <c r="M50" s="1283"/>
      <c r="N50" s="1283"/>
      <c r="O50" s="462"/>
      <c r="P50" s="281"/>
      <c r="Q50" s="299"/>
      <c r="R50" s="276"/>
      <c r="S50" s="1200"/>
      <c r="T50" s="296" t="s">
        <v>1683</v>
      </c>
      <c r="U50" s="291"/>
      <c r="V50" s="291"/>
      <c r="W50" s="291"/>
      <c r="X50" s="291"/>
      <c r="Y50" s="291"/>
      <c r="Z50" s="291"/>
      <c r="AA50" s="291"/>
      <c r="AB50" s="290"/>
      <c r="AC50" s="291"/>
      <c r="AD50" s="291"/>
      <c r="AE50" s="291"/>
      <c r="AF50" s="291"/>
      <c r="AG50" s="291"/>
      <c r="AH50" s="291"/>
      <c r="AI50" s="290"/>
      <c r="AJ50" s="291"/>
      <c r="AK50" s="217"/>
      <c r="AM50" s="426"/>
      <c r="AN50" s="426" t="str">
        <f t="shared" si="1"/>
        <v>Добавить наименование признака дифференциации</v>
      </c>
      <c r="AO50" s="426"/>
      <c r="AP50" s="426"/>
    </row>
    <row r="51" spans="1:42" s="1559" customFormat="1" ht="0" hidden="1" customHeight="1">
      <c r="A51" s="1262" t="s">
        <v>257</v>
      </c>
      <c r="B51" s="1262" t="s">
        <v>258</v>
      </c>
      <c r="C51" s="1234"/>
      <c r="D51" s="1234"/>
      <c r="E51" s="2077"/>
      <c r="F51" s="2076"/>
      <c r="G51" s="1234"/>
      <c r="H51" s="1234"/>
      <c r="I51" s="1234"/>
      <c r="J51" s="1234"/>
      <c r="K51" s="1234"/>
      <c r="L51" s="1406"/>
      <c r="M51" s="1241"/>
      <c r="N51" s="1241"/>
      <c r="P51" s="1236"/>
      <c r="Q51" s="1237"/>
      <c r="R51" s="1236"/>
      <c r="S51" s="1242"/>
      <c r="T51" s="1245" t="s">
        <v>434</v>
      </c>
      <c r="U51" s="1244"/>
      <c r="V51" s="1244"/>
      <c r="W51" s="1244"/>
      <c r="X51" s="1244"/>
      <c r="Y51" s="1244"/>
      <c r="Z51" s="1244"/>
      <c r="AA51" s="1244"/>
      <c r="AB51" s="1244"/>
      <c r="AC51" s="1244"/>
      <c r="AD51" s="1244"/>
      <c r="AE51" s="1244"/>
      <c r="AF51" s="1244"/>
      <c r="AG51" s="1244"/>
      <c r="AH51" s="1244"/>
      <c r="AI51" s="1244"/>
      <c r="AJ51" s="1244"/>
      <c r="AK51" s="1244"/>
      <c r="AM51" s="702"/>
      <c r="AN51" s="702" t="str">
        <f t="shared" si="1"/>
        <v>Добавить централизованную систему для дифференциации</v>
      </c>
      <c r="AO51" s="702"/>
      <c r="AP51" s="702"/>
    </row>
    <row r="52" spans="1:42" s="1559" customFormat="1" ht="0" hidden="1" customHeight="1">
      <c r="A52" s="1262" t="s">
        <v>257</v>
      </c>
      <c r="B52" s="1262"/>
      <c r="C52" s="1262"/>
      <c r="D52" s="1262"/>
      <c r="E52" s="2076"/>
      <c r="F52" s="1262"/>
      <c r="G52" s="1262"/>
      <c r="H52" s="1262"/>
      <c r="I52" s="1262"/>
      <c r="J52" s="1262"/>
      <c r="K52" s="1262"/>
      <c r="L52" s="1265"/>
      <c r="M52" s="1241"/>
      <c r="N52" s="1241"/>
      <c r="O52" s="444"/>
      <c r="P52" s="308"/>
      <c r="Q52" s="1263"/>
      <c r="R52" s="308"/>
      <c r="S52" s="1242"/>
      <c r="T52" s="1245" t="s">
        <v>435</v>
      </c>
      <c r="U52" s="1244"/>
      <c r="V52" s="1244"/>
      <c r="W52" s="1244"/>
      <c r="X52" s="1244"/>
      <c r="Y52" s="1244"/>
      <c r="Z52" s="1244"/>
      <c r="AA52" s="1244"/>
      <c r="AB52" s="1244"/>
      <c r="AC52" s="1244"/>
      <c r="AD52" s="1244"/>
      <c r="AE52" s="1244"/>
      <c r="AF52" s="1244"/>
      <c r="AG52" s="1244"/>
      <c r="AH52" s="1244"/>
      <c r="AI52" s="1244"/>
      <c r="AJ52" s="1244"/>
      <c r="AK52" s="1244"/>
      <c r="AM52" s="426"/>
      <c r="AN52" s="426" t="str">
        <f t="shared" si="1"/>
        <v>Добавить территорию для дифференциации</v>
      </c>
      <c r="AO52" s="426"/>
      <c r="AP52" s="426"/>
    </row>
    <row r="53" spans="1:42" s="1559" customFormat="1" ht="0" hidden="1" customHeight="1">
      <c r="A53" s="1234"/>
      <c r="B53" s="1234"/>
      <c r="C53" s="1234"/>
      <c r="D53" s="1234"/>
      <c r="E53" s="1262"/>
      <c r="F53" s="1234"/>
      <c r="G53" s="1234"/>
      <c r="H53" s="1234"/>
      <c r="I53" s="1234"/>
      <c r="J53" s="1234"/>
      <c r="K53" s="1234"/>
      <c r="L53" s="1406"/>
      <c r="M53" s="1241"/>
      <c r="N53" s="1241"/>
      <c r="P53" s="1236"/>
      <c r="Q53" s="1237"/>
      <c r="R53" s="1236"/>
      <c r="S53" s="1242"/>
      <c r="T53" s="1245" t="s">
        <v>436</v>
      </c>
      <c r="U53" s="1244"/>
      <c r="V53" s="1244"/>
      <c r="W53" s="1244"/>
      <c r="X53" s="1244"/>
      <c r="Y53" s="1244"/>
      <c r="Z53" s="1244"/>
      <c r="AA53" s="1244"/>
      <c r="AB53" s="1244"/>
      <c r="AC53" s="1244"/>
      <c r="AD53" s="1244"/>
      <c r="AE53" s="1244"/>
      <c r="AF53" s="1244"/>
      <c r="AG53" s="1244"/>
      <c r="AH53" s="1244"/>
      <c r="AI53" s="1244"/>
      <c r="AJ53" s="1244"/>
      <c r="AK53" s="1244"/>
      <c r="AM53" s="702"/>
      <c r="AN53" s="702" t="str">
        <f t="shared" si="1"/>
        <v>Добавить наименование тарифа</v>
      </c>
      <c r="AO53" s="702"/>
      <c r="AP53" s="702"/>
    </row>
    <row r="54" spans="1:42" ht="11.25" hidden="1" customHeight="1">
      <c r="M54" s="1062"/>
      <c r="N54" s="1062"/>
      <c r="O54" s="462"/>
      <c r="P54" s="1057"/>
      <c r="Q54" s="1057"/>
      <c r="R54" s="1057"/>
      <c r="S54" s="1057"/>
      <c r="AL54" s="1057"/>
      <c r="AM54" s="1057"/>
      <c r="AN54" s="1057"/>
      <c r="AO54" s="1057"/>
      <c r="AP54" s="1057"/>
    </row>
    <row r="55" spans="1:42" ht="14.25" hidden="1" customHeight="1">
      <c r="O55" s="462"/>
      <c r="S55" s="1166" t="s">
        <v>508</v>
      </c>
      <c r="T55" s="2075" t="s">
        <v>2068</v>
      </c>
      <c r="U55" s="2075"/>
      <c r="V55" s="2075"/>
      <c r="W55" s="2075"/>
      <c r="X55" s="2075"/>
      <c r="Y55" s="2075"/>
      <c r="Z55" s="2075"/>
      <c r="AA55" s="2075"/>
      <c r="AB55" s="2075"/>
      <c r="AC55" s="2075"/>
      <c r="AD55" s="2075"/>
      <c r="AE55" s="2075"/>
      <c r="AF55" s="2075"/>
      <c r="AG55" s="2075"/>
      <c r="AH55" s="2075"/>
      <c r="AI55" s="2075"/>
      <c r="AJ55" s="2075"/>
      <c r="AK55" s="2075"/>
    </row>
    <row r="56" spans="1:42" ht="14.25" hidden="1" customHeight="1">
      <c r="O56" s="462"/>
    </row>
    <row r="57" spans="1:42" ht="14.25" hidden="1" customHeight="1">
      <c r="O57" s="462"/>
      <c r="S57" s="1166" t="s">
        <v>508</v>
      </c>
      <c r="T57" s="2075" t="s">
        <v>2069</v>
      </c>
      <c r="U57" s="2075"/>
      <c r="V57" s="2075"/>
      <c r="W57" s="2075"/>
      <c r="X57" s="2075"/>
      <c r="Y57" s="2075"/>
      <c r="Z57" s="2075"/>
      <c r="AA57" s="2075"/>
      <c r="AB57" s="2075"/>
      <c r="AC57" s="2075"/>
      <c r="AD57" s="2075"/>
      <c r="AE57" s="2075"/>
      <c r="AF57" s="2075"/>
      <c r="AG57" s="2075"/>
      <c r="AH57" s="2075"/>
      <c r="AI57" s="2075"/>
      <c r="AJ57" s="2075"/>
      <c r="AK57" s="2075"/>
    </row>
  </sheetData>
  <sheetProtection formatColumns="0" formatRows="0" insertRows="0" deleteColumns="0" deleteRows="0" sort="0" autoFilter="0"/>
  <mergeCells count="101">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 ref="AK7:AK8"/>
    <mergeCell ref="AF15:AF16"/>
    <mergeCell ref="AG15:AG16"/>
    <mergeCell ref="AH15:AH16"/>
    <mergeCell ref="AI15:AI16"/>
    <mergeCell ref="Z7:Z8"/>
    <mergeCell ref="AA7:AA8"/>
    <mergeCell ref="AB7:AB8"/>
    <mergeCell ref="AF7:AF8"/>
    <mergeCell ref="AG7:AG8"/>
    <mergeCell ref="AH7:AH8"/>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46:AK47"/>
    <mergeCell ref="T55:AK55"/>
    <mergeCell ref="T57:AK57"/>
    <mergeCell ref="K46:K47"/>
    <mergeCell ref="Y46:Y47"/>
    <mergeCell ref="Z46:Z47"/>
    <mergeCell ref="AA46:AA47"/>
    <mergeCell ref="AB46:AB47"/>
    <mergeCell ref="AF46:AF47"/>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AP57"/>
  <sheetViews>
    <sheetView showGridLines="0" topLeftCell="P23" zoomScale="90" workbookViewId="0"/>
  </sheetViews>
  <sheetFormatPr defaultColWidth="10.5703125" defaultRowHeight="14.25" customHeight="1"/>
  <cols>
    <col min="1" max="1" width="10.5703125" style="1284" hidden="1"/>
    <col min="2" max="2" width="11" style="1284" hidden="1" customWidth="1"/>
    <col min="3" max="3" width="10.5703125" style="1284" hidden="1"/>
    <col min="4" max="4" width="11.85546875" style="1284" hidden="1" customWidth="1"/>
    <col min="5" max="5" width="10" style="1284" hidden="1" customWidth="1"/>
    <col min="6" max="6" width="8.7109375" style="1284" hidden="1" customWidth="1"/>
    <col min="7" max="7" width="7.5703125" style="1284" hidden="1" customWidth="1"/>
    <col min="8" max="8" width="11.42578125" style="1284" hidden="1" customWidth="1"/>
    <col min="9" max="9" width="14.140625" style="1284" hidden="1" customWidth="1"/>
    <col min="10" max="10" width="9.85546875" style="1284" hidden="1" customWidth="1"/>
    <col min="11" max="11" width="14.7109375" style="1284" hidden="1" customWidth="1"/>
    <col min="12" max="12" width="19.140625" style="1799" hidden="1" customWidth="1"/>
    <col min="13" max="14" width="12.28515625" style="1696" hidden="1" customWidth="1"/>
    <col min="15" max="15" width="23.42578125" style="1696" hidden="1" customWidth="1"/>
    <col min="16" max="16" width="3.7109375" style="1803" customWidth="1"/>
    <col min="17" max="18" width="3.7109375" style="265" customWidth="1"/>
    <col min="19" max="19" width="12.7109375" style="1806" customWidth="1"/>
    <col min="20" max="20" width="35.7109375" style="1552" customWidth="1"/>
    <col min="21" max="21" width="0.140625" style="1552" customWidth="1"/>
    <col min="22" max="24" width="24.7109375" style="1552" hidden="1" customWidth="1"/>
    <col min="25" max="25" width="11.7109375" style="1552" hidden="1" customWidth="1"/>
    <col min="26" max="26" width="3.7109375" style="1552" hidden="1" customWidth="1"/>
    <col min="27" max="27" width="11.7109375" style="1552" hidden="1" customWidth="1"/>
    <col min="28" max="28" width="8.5703125" style="1552" hidden="1" customWidth="1"/>
    <col min="29" max="31" width="24.7109375" style="1552" customWidth="1"/>
    <col min="32" max="32" width="11.7109375" style="1552" customWidth="1"/>
    <col min="33" max="33" width="3.7109375" style="1552" customWidth="1"/>
    <col min="34" max="34" width="11.7109375" style="1552" customWidth="1"/>
    <col min="35" max="35" width="8.5703125" style="1552" hidden="1" customWidth="1"/>
    <col min="36" max="36" width="4.7109375" style="1552" customWidth="1"/>
    <col min="37" max="37" width="115.7109375" style="1552" customWidth="1"/>
    <col min="38" max="39" width="10.5703125" style="1559"/>
    <col min="40" max="40" width="11.140625" style="1559" customWidth="1"/>
    <col min="41" max="42" width="10.5703125" style="1559"/>
  </cols>
  <sheetData>
    <row r="1" spans="1:42" ht="14.25" hidden="1" customHeight="1">
      <c r="X1" s="249"/>
      <c r="Y1" s="249"/>
      <c r="AE1" s="249"/>
      <c r="AF1" s="249"/>
    </row>
    <row r="2" spans="1:42" ht="23.25" hidden="1" customHeight="1">
      <c r="A2" s="1281"/>
      <c r="B2" s="1281"/>
      <c r="C2" s="1281"/>
      <c r="D2" s="1281"/>
      <c r="E2" s="2076">
        <v>1</v>
      </c>
      <c r="F2" s="1281"/>
      <c r="G2" s="1281"/>
      <c r="H2" s="1281"/>
      <c r="I2" s="1281"/>
      <c r="J2" s="1281"/>
      <c r="K2" s="1281"/>
      <c r="L2" s="1282"/>
      <c r="M2" s="1283"/>
      <c r="N2" s="1283"/>
      <c r="O2" s="1283"/>
      <c r="P2" s="282"/>
      <c r="Q2" s="281"/>
      <c r="R2" s="276"/>
      <c r="S2" s="1405" t="e">
        <f>INDEX(PT_DIFFERENTIATION_NUM_NTAR,MATCH(A2,PT_DIFFERENTIATION_NTAR_ID,0))</f>
        <v>#N/A</v>
      </c>
      <c r="T2" s="212" t="s">
        <v>128</v>
      </c>
      <c r="U2" s="214"/>
      <c r="V2" s="2070"/>
      <c r="W2" s="2071"/>
      <c r="X2" s="2071"/>
      <c r="Y2" s="2071"/>
      <c r="Z2" s="2071"/>
      <c r="AA2" s="2071"/>
      <c r="AB2" s="2072"/>
      <c r="AC2" s="2070" t="e">
        <f>INDEX(PT_DIFFERENTIATION_NTAR,MATCH(A2,PT_DIFFERENTIATION_NTAR_ID,0))</f>
        <v>#N/A</v>
      </c>
      <c r="AD2" s="2071"/>
      <c r="AE2" s="2071"/>
      <c r="AF2" s="2071"/>
      <c r="AG2" s="2071"/>
      <c r="AH2" s="2071"/>
      <c r="AI2" s="2071"/>
      <c r="AJ2" s="2072"/>
      <c r="AK2" s="117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426"/>
      <c r="AN2" s="426" t="str">
        <f t="shared" ref="AN2:AN13" si="0">IF(T2="","",T2)</f>
        <v>Наименование тарифа</v>
      </c>
      <c r="AO2" s="426"/>
      <c r="AP2" s="426"/>
    </row>
    <row r="3" spans="1:42" ht="23.25" hidden="1" customHeight="1">
      <c r="A3" s="1281"/>
      <c r="B3" s="1281"/>
      <c r="C3" s="1281"/>
      <c r="D3" s="1281"/>
      <c r="E3" s="2077"/>
      <c r="F3" s="2076">
        <v>1</v>
      </c>
      <c r="G3" s="1281"/>
      <c r="H3" s="1281"/>
      <c r="I3" s="1281"/>
      <c r="J3" s="1281"/>
      <c r="K3" s="1281"/>
      <c r="L3" s="1282"/>
      <c r="M3" s="1283"/>
      <c r="N3" s="1283"/>
      <c r="O3" s="1283"/>
      <c r="P3" s="1399"/>
      <c r="Q3" s="273"/>
      <c r="R3" s="274"/>
      <c r="S3" s="1405" t="e">
        <f>INDEX(PT_DIFFERENTIATION_NUM_TER,MATCH(B3,PT_DIFFERENTIATION_TER_ID,0))</f>
        <v>#N/A</v>
      </c>
      <c r="T3" s="224" t="s">
        <v>460</v>
      </c>
      <c r="U3" s="214"/>
      <c r="V3" s="2070"/>
      <c r="W3" s="2071"/>
      <c r="X3" s="2071"/>
      <c r="Y3" s="2071"/>
      <c r="Z3" s="2071"/>
      <c r="AA3" s="2071"/>
      <c r="AB3" s="2072"/>
      <c r="AC3" s="2070" t="e">
        <f>INDEX(PT_DIFFERENTIATION_TER,MATCH(B3,PT_DIFFERENTIATION_TER_ID,0))</f>
        <v>#N/A</v>
      </c>
      <c r="AD3" s="2071"/>
      <c r="AE3" s="2071"/>
      <c r="AF3" s="2071"/>
      <c r="AG3" s="2071"/>
      <c r="AH3" s="2071"/>
      <c r="AI3" s="2071"/>
      <c r="AJ3" s="2072"/>
      <c r="AK3" s="1179" t="s">
        <v>461</v>
      </c>
      <c r="AM3" s="426"/>
      <c r="AN3" s="426" t="str">
        <f t="shared" si="0"/>
        <v>Территория действия тарифа</v>
      </c>
      <c r="AO3" s="426"/>
      <c r="AP3" s="426"/>
    </row>
    <row r="4" spans="1:42" ht="23.25" hidden="1" customHeight="1">
      <c r="A4" s="1281"/>
      <c r="B4" s="1281"/>
      <c r="C4" s="1281"/>
      <c r="D4" s="1281"/>
      <c r="E4" s="2077"/>
      <c r="F4" s="2077"/>
      <c r="G4" s="2076">
        <v>1</v>
      </c>
      <c r="H4" s="1281"/>
      <c r="I4" s="1281"/>
      <c r="J4" s="1281"/>
      <c r="K4" s="1281"/>
      <c r="L4" s="1282"/>
      <c r="M4" s="1283"/>
      <c r="N4" s="1283"/>
      <c r="O4" s="1283"/>
      <c r="P4" s="275"/>
      <c r="Q4" s="273"/>
      <c r="R4" s="274"/>
      <c r="S4" s="1405" t="e">
        <f>INDEX(PT_DIFFERENTIATION_NUM_CS,MATCH(C4,PT_DIFFERENTIATION_CS_ID,0))</f>
        <v>#N/A</v>
      </c>
      <c r="T4" s="225" t="s">
        <v>2063</v>
      </c>
      <c r="U4" s="214"/>
      <c r="V4" s="2070"/>
      <c r="W4" s="2071"/>
      <c r="X4" s="2071"/>
      <c r="Y4" s="2071"/>
      <c r="Z4" s="2071"/>
      <c r="AA4" s="2071"/>
      <c r="AB4" s="2072"/>
      <c r="AC4" s="2070" t="e">
        <f>INDEX(PT_DIFFERENTIATION_CS,MATCH(C4,PT_DIFFERENTIATION_CS_ID,0))</f>
        <v>#N/A</v>
      </c>
      <c r="AD4" s="2071"/>
      <c r="AE4" s="2071"/>
      <c r="AF4" s="2071"/>
      <c r="AG4" s="2071"/>
      <c r="AH4" s="2071"/>
      <c r="AI4" s="2071"/>
      <c r="AJ4" s="2072"/>
      <c r="AK4" s="1179" t="s">
        <v>2064</v>
      </c>
      <c r="AM4" s="426"/>
      <c r="AN4" s="426" t="str">
        <f t="shared" si="0"/>
        <v>Наименование централизованной системы водоотведения</v>
      </c>
      <c r="AO4" s="426"/>
      <c r="AP4" s="426"/>
    </row>
    <row r="5" spans="1:42" ht="23.25" hidden="1" customHeight="1">
      <c r="A5" s="1281"/>
      <c r="B5" s="1281"/>
      <c r="C5" s="1281"/>
      <c r="D5" s="1281"/>
      <c r="E5" s="2077"/>
      <c r="F5" s="2077"/>
      <c r="G5" s="2077"/>
      <c r="H5" s="2077"/>
      <c r="I5" s="2078" t="e">
        <f>S4&amp;".1"</f>
        <v>#N/A</v>
      </c>
      <c r="J5" s="1281"/>
      <c r="K5" s="1281"/>
      <c r="L5" s="1282"/>
      <c r="P5" s="1995">
        <v>1</v>
      </c>
      <c r="Q5" s="1393"/>
      <c r="R5" s="277"/>
      <c r="S5" s="1405" t="e">
        <f>$I5</f>
        <v>#N/A</v>
      </c>
      <c r="T5" s="200" t="s">
        <v>1678</v>
      </c>
      <c r="U5" s="214"/>
      <c r="V5" s="2176"/>
      <c r="W5" s="2177"/>
      <c r="X5" s="2177"/>
      <c r="Y5" s="2177"/>
      <c r="Z5" s="2177"/>
      <c r="AA5" s="2177"/>
      <c r="AB5" s="2178"/>
      <c r="AC5" s="2179"/>
      <c r="AD5" s="2180"/>
      <c r="AE5" s="2180"/>
      <c r="AF5" s="2180"/>
      <c r="AG5" s="2180"/>
      <c r="AH5" s="2180"/>
      <c r="AI5" s="2180"/>
      <c r="AJ5" s="2181"/>
      <c r="AK5" s="1179" t="s">
        <v>1679</v>
      </c>
      <c r="AM5" s="426"/>
      <c r="AN5" s="426" t="str">
        <f t="shared" si="0"/>
        <v>Наименование признака дифференциации</v>
      </c>
      <c r="AO5" s="426"/>
      <c r="AP5" s="426"/>
    </row>
    <row r="6" spans="1:42" ht="23.25" hidden="1" customHeight="1">
      <c r="A6" s="1281"/>
      <c r="B6" s="1281"/>
      <c r="C6" s="1281"/>
      <c r="D6" s="1281"/>
      <c r="E6" s="2077"/>
      <c r="F6" s="2077"/>
      <c r="G6" s="2077"/>
      <c r="H6" s="2077"/>
      <c r="I6" s="2079"/>
      <c r="J6" s="2078" t="e">
        <f>I5&amp;".1"</f>
        <v>#N/A</v>
      </c>
      <c r="K6" s="1281"/>
      <c r="L6" s="1282" t="s">
        <v>469</v>
      </c>
      <c r="P6" s="1995"/>
      <c r="Q6" s="1995">
        <v>1</v>
      </c>
      <c r="R6" s="278"/>
      <c r="S6" s="1405" t="e">
        <f>$J6</f>
        <v>#N/A</v>
      </c>
      <c r="T6" s="201" t="s">
        <v>470</v>
      </c>
      <c r="U6" s="214"/>
      <c r="V6" s="2064"/>
      <c r="W6" s="2065"/>
      <c r="X6" s="2065"/>
      <c r="Y6" s="2065"/>
      <c r="Z6" s="2065"/>
      <c r="AA6" s="2065"/>
      <c r="AB6" s="2066"/>
      <c r="AC6" s="2064"/>
      <c r="AD6" s="2065"/>
      <c r="AE6" s="2065"/>
      <c r="AF6" s="2065"/>
      <c r="AG6" s="2065"/>
      <c r="AH6" s="2065"/>
      <c r="AI6" s="2065"/>
      <c r="AJ6" s="2066"/>
      <c r="AK6" s="1228" t="s">
        <v>1680</v>
      </c>
      <c r="AM6" s="426"/>
      <c r="AN6" s="426" t="str">
        <f t="shared" si="0"/>
        <v>Группа потребителей</v>
      </c>
      <c r="AO6" s="426"/>
      <c r="AP6" s="426"/>
    </row>
    <row r="7" spans="1:42" ht="23.25" hidden="1" customHeight="1">
      <c r="A7" s="1281"/>
      <c r="B7" s="1281"/>
      <c r="C7" s="1281"/>
      <c r="D7" s="1281"/>
      <c r="E7" s="2077"/>
      <c r="F7" s="2077"/>
      <c r="G7" s="2077"/>
      <c r="H7" s="2077"/>
      <c r="I7" s="2079"/>
      <c r="J7" s="2079"/>
      <c r="K7" s="2078" t="e">
        <f>J6&amp;".1"</f>
        <v>#N/A</v>
      </c>
      <c r="L7" s="1282"/>
      <c r="P7" s="1995"/>
      <c r="Q7" s="1995"/>
      <c r="R7" s="278">
        <v>1</v>
      </c>
      <c r="S7" s="1405" t="e">
        <f>$K7</f>
        <v>#N/A</v>
      </c>
      <c r="T7" s="1354"/>
      <c r="U7" s="214"/>
      <c r="V7" s="664"/>
      <c r="W7" s="664"/>
      <c r="X7" s="1178"/>
      <c r="Y7" s="2080"/>
      <c r="Z7" s="1885" t="s">
        <v>59</v>
      </c>
      <c r="AA7" s="2080"/>
      <c r="AB7" s="1885" t="s">
        <v>59</v>
      </c>
      <c r="AC7" s="664"/>
      <c r="AD7" s="664"/>
      <c r="AE7" s="1178"/>
      <c r="AF7" s="2080"/>
      <c r="AG7" s="1885" t="s">
        <v>59</v>
      </c>
      <c r="AH7" s="2082"/>
      <c r="AI7" s="1885" t="s">
        <v>59</v>
      </c>
      <c r="AJ7" s="1355"/>
      <c r="AK7" s="2182"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437" t="e">
        <f ca="1">STRCHECKDATE(V8:AJ8)</f>
        <v>#NAME?</v>
      </c>
      <c r="AM7" s="426"/>
      <c r="AN7" s="426" t="str">
        <f t="shared" si="0"/>
        <v/>
      </c>
      <c r="AO7" s="426"/>
      <c r="AP7" s="426"/>
    </row>
    <row r="8" spans="1:42" ht="14.25" hidden="1" customHeight="1">
      <c r="A8" s="1281"/>
      <c r="B8" s="1281"/>
      <c r="C8" s="1281"/>
      <c r="D8" s="1281"/>
      <c r="E8" s="2077"/>
      <c r="F8" s="2077"/>
      <c r="G8" s="2077"/>
      <c r="H8" s="2077"/>
      <c r="I8" s="2079"/>
      <c r="J8" s="2079"/>
      <c r="K8" s="2078"/>
      <c r="L8" s="1282"/>
      <c r="P8" s="1995"/>
      <c r="Q8" s="1995"/>
      <c r="R8" s="278"/>
      <c r="S8" s="1402"/>
      <c r="T8" s="214"/>
      <c r="U8" s="214"/>
      <c r="V8" s="246"/>
      <c r="W8" s="246"/>
      <c r="X8" s="250" t="str">
        <f>Y7&amp;"-"&amp;AA7</f>
        <v>-</v>
      </c>
      <c r="Y8" s="2081"/>
      <c r="Z8" s="1885"/>
      <c r="AA8" s="2081"/>
      <c r="AB8" s="1885"/>
      <c r="AC8" s="246"/>
      <c r="AD8" s="246"/>
      <c r="AE8" s="250" t="str">
        <f>AF7&amp;"-"&amp;AH7</f>
        <v>-</v>
      </c>
      <c r="AF8" s="2081"/>
      <c r="AG8" s="1885"/>
      <c r="AH8" s="2083"/>
      <c r="AI8" s="1885"/>
      <c r="AJ8" s="1356"/>
      <c r="AK8" s="2182"/>
      <c r="AM8" s="426"/>
      <c r="AN8" s="426" t="str">
        <f t="shared" si="0"/>
        <v/>
      </c>
      <c r="AO8" s="426"/>
      <c r="AP8" s="426"/>
    </row>
    <row r="9" spans="1:42" ht="21" hidden="1" customHeight="1">
      <c r="A9" s="1281"/>
      <c r="B9" s="1281"/>
      <c r="C9" s="1281"/>
      <c r="D9" s="1281"/>
      <c r="E9" s="2077"/>
      <c r="F9" s="2077"/>
      <c r="G9" s="2077"/>
      <c r="H9" s="2077"/>
      <c r="I9" s="2079"/>
      <c r="J9" s="2078"/>
      <c r="K9" s="1281"/>
      <c r="L9" s="1282"/>
      <c r="P9" s="1995"/>
      <c r="Q9" s="1995"/>
      <c r="R9" s="277"/>
      <c r="S9" s="1200"/>
      <c r="T9" s="202" t="s">
        <v>1681</v>
      </c>
      <c r="U9" s="291"/>
      <c r="V9" s="291"/>
      <c r="W9" s="291"/>
      <c r="X9" s="291"/>
      <c r="Y9" s="291"/>
      <c r="Z9" s="291"/>
      <c r="AA9" s="291"/>
      <c r="AB9" s="291"/>
      <c r="AC9" s="291"/>
      <c r="AD9" s="291"/>
      <c r="AE9" s="291"/>
      <c r="AF9" s="291"/>
      <c r="AG9" s="291"/>
      <c r="AH9" s="291"/>
      <c r="AI9" s="291"/>
      <c r="AJ9" s="291"/>
      <c r="AK9" s="1179" t="s">
        <v>1682</v>
      </c>
      <c r="AM9" s="426"/>
      <c r="AN9" s="426" t="str">
        <f t="shared" si="0"/>
        <v>Добавить значение признака дифференциации</v>
      </c>
      <c r="AO9" s="426"/>
      <c r="AP9" s="426"/>
    </row>
    <row r="10" spans="1:42" ht="21" hidden="1" customHeight="1">
      <c r="A10" s="1281"/>
      <c r="B10" s="1281"/>
      <c r="C10" s="1281"/>
      <c r="D10" s="1281"/>
      <c r="E10" s="2077"/>
      <c r="F10" s="2077"/>
      <c r="G10" s="2077"/>
      <c r="H10" s="2077"/>
      <c r="I10" s="2078"/>
      <c r="J10" s="1281"/>
      <c r="K10" s="1281"/>
      <c r="L10" s="1282"/>
      <c r="P10" s="1995"/>
      <c r="Q10" s="1393"/>
      <c r="R10" s="277"/>
      <c r="S10" s="1200"/>
      <c r="T10" s="288" t="s">
        <v>475</v>
      </c>
      <c r="U10" s="291"/>
      <c r="V10" s="291"/>
      <c r="W10" s="291"/>
      <c r="X10" s="291"/>
      <c r="Y10" s="291"/>
      <c r="Z10" s="291"/>
      <c r="AA10" s="291"/>
      <c r="AB10" s="290"/>
      <c r="AC10" s="291"/>
      <c r="AD10" s="291"/>
      <c r="AE10" s="291"/>
      <c r="AF10" s="291"/>
      <c r="AG10" s="291"/>
      <c r="AH10" s="291"/>
      <c r="AI10" s="290"/>
      <c r="AJ10" s="291"/>
      <c r="AK10" s="1357"/>
      <c r="AM10" s="426"/>
      <c r="AN10" s="426" t="str">
        <f t="shared" si="0"/>
        <v>Добавить группу потребителей</v>
      </c>
      <c r="AO10" s="426"/>
      <c r="AP10" s="426"/>
    </row>
    <row r="11" spans="1:42" ht="21" hidden="1" customHeight="1">
      <c r="A11" s="1281"/>
      <c r="B11" s="1281"/>
      <c r="C11" s="1281"/>
      <c r="D11" s="1281"/>
      <c r="E11" s="2077"/>
      <c r="F11" s="2077"/>
      <c r="G11" s="2077"/>
      <c r="H11" s="2076"/>
      <c r="I11" s="1281"/>
      <c r="J11" s="1281"/>
      <c r="K11" s="1281"/>
      <c r="L11" s="1282"/>
      <c r="M11" s="1283"/>
      <c r="N11" s="1283"/>
      <c r="O11" s="462"/>
      <c r="P11" s="281"/>
      <c r="Q11" s="299"/>
      <c r="R11" s="276"/>
      <c r="S11" s="1200"/>
      <c r="T11" s="296" t="s">
        <v>1683</v>
      </c>
      <c r="U11" s="291"/>
      <c r="V11" s="291"/>
      <c r="W11" s="291"/>
      <c r="X11" s="291"/>
      <c r="Y11" s="291"/>
      <c r="Z11" s="291"/>
      <c r="AA11" s="291"/>
      <c r="AB11" s="290"/>
      <c r="AC11" s="291"/>
      <c r="AD11" s="291"/>
      <c r="AE11" s="291"/>
      <c r="AF11" s="291"/>
      <c r="AG11" s="291"/>
      <c r="AH11" s="291"/>
      <c r="AI11" s="290"/>
      <c r="AJ11" s="291"/>
      <c r="AK11" s="217"/>
      <c r="AM11" s="426"/>
      <c r="AN11" s="426" t="str">
        <f t="shared" si="0"/>
        <v>Добавить наименование признака дифференциации</v>
      </c>
      <c r="AO11" s="426"/>
      <c r="AP11" s="426"/>
    </row>
    <row r="12" spans="1:42" s="1559" customFormat="1" ht="14.25" hidden="1" customHeight="1">
      <c r="A12" s="1262"/>
      <c r="B12" s="1262"/>
      <c r="C12" s="1234"/>
      <c r="D12" s="1234"/>
      <c r="E12" s="2077"/>
      <c r="F12" s="2076"/>
      <c r="G12" s="1234"/>
      <c r="H12" s="1234"/>
      <c r="I12" s="1234"/>
      <c r="J12" s="1234"/>
      <c r="K12" s="1234"/>
      <c r="L12" s="1406"/>
      <c r="M12" s="1241"/>
      <c r="N12" s="1241"/>
      <c r="P12" s="1236"/>
      <c r="Q12" s="1237"/>
      <c r="R12" s="1236"/>
      <c r="S12" s="1242"/>
      <c r="T12" s="1245" t="s">
        <v>434</v>
      </c>
      <c r="U12" s="1244"/>
      <c r="V12" s="1244"/>
      <c r="W12" s="1244"/>
      <c r="X12" s="1244"/>
      <c r="Y12" s="1244"/>
      <c r="Z12" s="1244"/>
      <c r="AA12" s="1244"/>
      <c r="AB12" s="1244"/>
      <c r="AC12" s="1244"/>
      <c r="AD12" s="1244"/>
      <c r="AE12" s="1244"/>
      <c r="AF12" s="1244"/>
      <c r="AG12" s="1244"/>
      <c r="AH12" s="1244"/>
      <c r="AI12" s="1244"/>
      <c r="AJ12" s="1244"/>
      <c r="AK12" s="1244"/>
      <c r="AM12" s="702"/>
      <c r="AN12" s="702" t="str">
        <f t="shared" si="0"/>
        <v>Добавить централизованную систему для дифференциации</v>
      </c>
      <c r="AO12" s="702"/>
      <c r="AP12" s="702"/>
    </row>
    <row r="13" spans="1:42" s="1559" customFormat="1" ht="14.25" hidden="1" customHeight="1">
      <c r="A13" s="1262"/>
      <c r="B13" s="1262"/>
      <c r="C13" s="1262"/>
      <c r="D13" s="1262"/>
      <c r="E13" s="2076"/>
      <c r="F13" s="1262"/>
      <c r="G13" s="1262"/>
      <c r="H13" s="1262"/>
      <c r="I13" s="1262"/>
      <c r="J13" s="1262"/>
      <c r="K13" s="1262"/>
      <c r="L13" s="1265"/>
      <c r="M13" s="1241"/>
      <c r="N13" s="1241"/>
      <c r="O13" s="444"/>
      <c r="P13" s="308"/>
      <c r="Q13" s="1263"/>
      <c r="R13" s="308"/>
      <c r="S13" s="1242"/>
      <c r="T13" s="1245" t="s">
        <v>435</v>
      </c>
      <c r="U13" s="1244"/>
      <c r="V13" s="1244"/>
      <c r="W13" s="1244"/>
      <c r="X13" s="1244"/>
      <c r="Y13" s="1244"/>
      <c r="Z13" s="1244"/>
      <c r="AA13" s="1244"/>
      <c r="AB13" s="1244"/>
      <c r="AC13" s="1244"/>
      <c r="AD13" s="1244"/>
      <c r="AE13" s="1244"/>
      <c r="AF13" s="1244"/>
      <c r="AG13" s="1244"/>
      <c r="AH13" s="1244"/>
      <c r="AI13" s="1244"/>
      <c r="AJ13" s="1244"/>
      <c r="AK13" s="1244"/>
      <c r="AM13" s="426"/>
      <c r="AN13" s="426" t="str">
        <f t="shared" si="0"/>
        <v>Добавить территорию для дифференциации</v>
      </c>
      <c r="AO13" s="426"/>
      <c r="AP13" s="426"/>
    </row>
    <row r="14" spans="1:42" ht="14.25" hidden="1" customHeight="1">
      <c r="AB14" s="249"/>
      <c r="AI14" s="249"/>
    </row>
    <row r="15" spans="1:42" ht="14.25" hidden="1" customHeight="1">
      <c r="AC15" s="1278"/>
      <c r="AD15" s="1278"/>
      <c r="AE15" s="1279"/>
      <c r="AF15" s="2074"/>
      <c r="AG15" s="2073" t="s">
        <v>59</v>
      </c>
      <c r="AH15" s="2074"/>
      <c r="AI15" s="2073" t="s">
        <v>59</v>
      </c>
    </row>
    <row r="16" spans="1:42" ht="14.25" hidden="1" customHeight="1">
      <c r="AC16" s="1278"/>
      <c r="AD16" s="1278"/>
      <c r="AE16" s="250" t="str">
        <f>AF15&amp;"-"&amp;AH15</f>
        <v>-</v>
      </c>
      <c r="AF16" s="2073"/>
      <c r="AG16" s="2073"/>
      <c r="AH16" s="2073"/>
      <c r="AI16" s="2073"/>
    </row>
    <row r="17" spans="1:42" ht="14.25" hidden="1" customHeight="1">
      <c r="AI17" s="249"/>
    </row>
    <row r="18" spans="1:42" s="1284" customFormat="1" ht="22.5" hidden="1" customHeight="1">
      <c r="L18" s="1390"/>
      <c r="M18" s="1280"/>
      <c r="N18" s="1280"/>
      <c r="O18" s="1285" t="s">
        <v>477</v>
      </c>
      <c r="P18" s="1280"/>
      <c r="Q18" s="1289"/>
      <c r="R18" s="1289"/>
      <c r="S18" s="645"/>
      <c r="Y18" s="1285"/>
      <c r="AA18" s="1285"/>
      <c r="AF18" s="1285"/>
      <c r="AH18" s="1285"/>
      <c r="AL18" s="437"/>
      <c r="AM18" s="437"/>
      <c r="AN18" s="437"/>
      <c r="AO18" s="437"/>
      <c r="AP18" s="437"/>
    </row>
    <row r="19" spans="1:42" s="1284" customFormat="1" ht="14.25" hidden="1" customHeight="1">
      <c r="L19" s="1390"/>
      <c r="M19" s="1280"/>
      <c r="N19" s="1280"/>
      <c r="O19" s="1280"/>
      <c r="P19" s="1280"/>
      <c r="Q19" s="1289"/>
      <c r="R19" s="1289"/>
      <c r="S19" s="645"/>
      <c r="AL19" s="437"/>
      <c r="AM19" s="437"/>
      <c r="AN19" s="437"/>
      <c r="AO19" s="437"/>
      <c r="AP19" s="437"/>
    </row>
    <row r="20" spans="1:42" s="1284" customFormat="1" ht="12" hidden="1" customHeight="1">
      <c r="L20" s="1390"/>
      <c r="M20" s="1280"/>
      <c r="N20" s="1280"/>
      <c r="O20" s="1282" t="s">
        <v>478</v>
      </c>
      <c r="P20" s="1280"/>
      <c r="Q20" s="1358"/>
      <c r="R20" s="1358"/>
      <c r="S20" s="645"/>
      <c r="T20" s="1062" t="s">
        <v>479</v>
      </c>
      <c r="Z20" s="104" t="s">
        <v>480</v>
      </c>
      <c r="AB20" s="104" t="s">
        <v>481</v>
      </c>
      <c r="AC20" s="1062" t="s">
        <v>479</v>
      </c>
      <c r="AG20" s="104" t="s">
        <v>482</v>
      </c>
      <c r="AI20" s="104" t="s">
        <v>481</v>
      </c>
    </row>
    <row r="21" spans="1:42" ht="14.25" hidden="1" customHeight="1">
      <c r="O21" s="1282"/>
    </row>
    <row r="22" spans="1:42" ht="14.25" hidden="1" customHeight="1">
      <c r="O22" s="1282"/>
    </row>
    <row r="23" spans="1:42" ht="14.25" customHeight="1">
      <c r="Q23" s="300"/>
      <c r="R23" s="300"/>
      <c r="S23" s="1197"/>
      <c r="T23" s="286"/>
      <c r="U23" s="286"/>
      <c r="V23" s="435"/>
      <c r="W23" s="435"/>
      <c r="X23" s="435"/>
      <c r="Y23" s="435"/>
      <c r="Z23" s="435"/>
      <c r="AA23" s="435"/>
      <c r="AB23" s="435"/>
      <c r="AC23" s="435"/>
      <c r="AD23" s="435"/>
      <c r="AE23" s="435"/>
      <c r="AF23" s="435"/>
      <c r="AG23" s="435"/>
      <c r="AH23" s="435"/>
      <c r="AI23" s="435"/>
    </row>
    <row r="24" spans="1:42" ht="32.25" customHeight="1">
      <c r="Q24" s="300"/>
      <c r="R24" s="300"/>
      <c r="S24" s="2101" t="str">
        <f>IF(TEMPLATE_GROUP="P",PT_P_FORM_VOTV_4_NAME_FORM,PT_R_FORM_VOTV_16_NAME_FORM)</f>
        <v>Форма 16. Информация о предложении расчетной величины тарифов организации водоотведения об установлении тарифов в сфере водоотведения на очередной период регулирования &lt;1&gt;</v>
      </c>
      <c r="T24" s="2101"/>
      <c r="U24" s="2101"/>
      <c r="V24" s="2101"/>
      <c r="W24" s="2101"/>
      <c r="X24" s="2101"/>
      <c r="Y24" s="2101"/>
      <c r="Z24" s="2101"/>
      <c r="AA24" s="2101"/>
      <c r="AB24" s="2101"/>
      <c r="AC24" s="2101"/>
      <c r="AD24" s="2101"/>
      <c r="AE24" s="2101"/>
      <c r="AF24" s="2101"/>
      <c r="AG24" s="2101"/>
      <c r="AH24" s="2101"/>
      <c r="AI24" s="1154"/>
    </row>
    <row r="25" spans="1:42" ht="14.25" customHeight="1">
      <c r="Q25" s="300"/>
      <c r="R25" s="300"/>
      <c r="S25" s="1961" t="str">
        <f>IF(org=0,"Не определено",org)</f>
        <v>АО СЗ "КМАпроектжилстрой"</v>
      </c>
      <c r="T25" s="1961"/>
      <c r="U25" s="1961"/>
      <c r="V25" s="1961"/>
      <c r="W25" s="1961"/>
      <c r="X25" s="1961"/>
      <c r="Y25" s="1961"/>
      <c r="Z25" s="1961"/>
      <c r="AA25" s="1961"/>
      <c r="AB25" s="1961"/>
      <c r="AC25" s="1961"/>
      <c r="AD25" s="1961"/>
      <c r="AE25" s="1961"/>
      <c r="AF25" s="1961"/>
      <c r="AG25" s="1961"/>
      <c r="AH25" s="1961"/>
      <c r="AI25" s="1154"/>
    </row>
    <row r="26" spans="1:42" ht="14.25" hidden="1" customHeight="1">
      <c r="Q26" s="300"/>
      <c r="R26" s="300"/>
      <c r="S26" s="1197"/>
      <c r="T26" s="286"/>
      <c r="U26" s="286"/>
      <c r="V26" s="242"/>
      <c r="W26" s="242"/>
      <c r="X26" s="242"/>
      <c r="Y26" s="242"/>
      <c r="Z26" s="242"/>
      <c r="AA26" s="242"/>
      <c r="AB26" s="242"/>
      <c r="AC26" s="242"/>
      <c r="AD26" s="242"/>
      <c r="AE26" s="242"/>
      <c r="AF26" s="242"/>
      <c r="AG26" s="242"/>
      <c r="AH26" s="242"/>
      <c r="AI26" s="242"/>
      <c r="AJ26" s="435"/>
    </row>
    <row r="27" spans="1:42" s="1773" customFormat="1" ht="25.5" hidden="1" customHeight="1">
      <c r="A27" s="1286"/>
      <c r="B27" s="1286"/>
      <c r="C27" s="1286"/>
      <c r="D27" s="1286"/>
      <c r="E27" s="1286"/>
      <c r="F27" s="1286"/>
      <c r="G27" s="1286"/>
      <c r="H27" s="1286"/>
      <c r="I27" s="1286"/>
      <c r="J27" s="1286"/>
      <c r="K27" s="1286"/>
      <c r="L27" s="1287"/>
      <c r="M27" s="1286"/>
      <c r="N27" s="1286"/>
      <c r="O27" s="1286"/>
      <c r="S27" s="2067" t="s">
        <v>40</v>
      </c>
      <c r="T27" s="2067"/>
      <c r="U27" s="1290"/>
      <c r="V27" s="2069" t="str">
        <f>IF(TITLE_NAME_OR_PR_CHANGE="",IF(TITLE_NAME_OR_PR="","",TITLE_NAME_OR_PR),TITLE_NAME_OR_PR_CHANGE)</f>
        <v/>
      </c>
      <c r="W27" s="2069"/>
      <c r="X27" s="2069"/>
      <c r="Y27" s="2069"/>
      <c r="Z27" s="2069"/>
      <c r="AA27" s="2069"/>
      <c r="AB27" s="248"/>
      <c r="AC27" s="2069" t="str">
        <f>IF(TITLE_NAME_OR_PR_CHANGE="",IF(TITLE_NAME_OR_PR="","",TITLE_NAME_OR_PR),TITLE_NAME_OR_PR_CHANGE)</f>
        <v/>
      </c>
      <c r="AD27" s="2069"/>
      <c r="AE27" s="2069"/>
      <c r="AF27" s="2069"/>
      <c r="AG27" s="2069"/>
      <c r="AH27" s="2069"/>
      <c r="AI27" s="248"/>
      <c r="AJ27" s="248"/>
      <c r="AK27" s="196"/>
      <c r="AL27" s="292"/>
      <c r="AM27" s="292"/>
      <c r="AN27" s="292"/>
      <c r="AO27" s="292"/>
      <c r="AP27" s="292"/>
    </row>
    <row r="28" spans="1:42" s="1773" customFormat="1" ht="18.75" hidden="1" customHeight="1">
      <c r="A28" s="1286"/>
      <c r="B28" s="1286"/>
      <c r="C28" s="1286"/>
      <c r="D28" s="1286"/>
      <c r="E28" s="1286"/>
      <c r="F28" s="1286"/>
      <c r="G28" s="1286"/>
      <c r="H28" s="1286"/>
      <c r="I28" s="1286"/>
      <c r="J28" s="1286"/>
      <c r="K28" s="1286"/>
      <c r="L28" s="1287"/>
      <c r="M28" s="1286"/>
      <c r="N28" s="1286"/>
      <c r="O28" s="1286"/>
      <c r="S28" s="2067" t="s">
        <v>483</v>
      </c>
      <c r="T28" s="2067"/>
      <c r="U28" s="1290"/>
      <c r="V28" s="2068" t="str">
        <f>IF(TITLE_DATE_CHANGE_PERIOD="",IF(TITLE_DATE_PR="","",TITLE_DATE_PR),TITLE_DATE_CHANGE_PERIOD)</f>
        <v/>
      </c>
      <c r="W28" s="2068"/>
      <c r="X28" s="2068"/>
      <c r="Y28" s="2068"/>
      <c r="Z28" s="2068"/>
      <c r="AA28" s="2068"/>
      <c r="AB28" s="248"/>
      <c r="AC28" s="2068" t="str">
        <f>IF(TITLE_DATE_CHANGE_PERIOD="",IF(TITLE_DATE_PR="","",TITLE_DATE_PR),TITLE_DATE_CHANGE_PERIOD)</f>
        <v/>
      </c>
      <c r="AD28" s="2068"/>
      <c r="AE28" s="2068"/>
      <c r="AF28" s="2068"/>
      <c r="AG28" s="2068"/>
      <c r="AH28" s="2068"/>
      <c r="AI28" s="248"/>
      <c r="AJ28" s="248"/>
      <c r="AK28" s="196"/>
      <c r="AL28" s="292"/>
      <c r="AM28" s="292"/>
      <c r="AN28" s="292"/>
      <c r="AO28" s="292"/>
      <c r="AP28" s="292"/>
    </row>
    <row r="29" spans="1:42" s="1773" customFormat="1" ht="18.75" hidden="1" customHeight="1">
      <c r="A29" s="1286"/>
      <c r="B29" s="1286"/>
      <c r="C29" s="1286"/>
      <c r="D29" s="1286"/>
      <c r="E29" s="1286"/>
      <c r="F29" s="1286"/>
      <c r="G29" s="1286"/>
      <c r="H29" s="1286"/>
      <c r="I29" s="1286"/>
      <c r="J29" s="1286"/>
      <c r="K29" s="1286"/>
      <c r="L29" s="1287"/>
      <c r="M29" s="1286"/>
      <c r="N29" s="1286"/>
      <c r="O29" s="1286"/>
      <c r="S29" s="2067" t="s">
        <v>484</v>
      </c>
      <c r="T29" s="2067"/>
      <c r="U29" s="1290"/>
      <c r="V29" s="2069" t="str">
        <f>IF(TITLE_NUMBER_PR_CHANGE="",IF(TITLE_NUMBER_PR="","",TITLE_NUMBER_PR),TITLE_NUMBER_PR_CHANGE)</f>
        <v/>
      </c>
      <c r="W29" s="2069"/>
      <c r="X29" s="2069"/>
      <c r="Y29" s="2069"/>
      <c r="Z29" s="2069"/>
      <c r="AA29" s="2069"/>
      <c r="AB29" s="248"/>
      <c r="AC29" s="2069" t="str">
        <f>IF(TITLE_NUMBER_PR_CHANGE="",IF(TITLE_NUMBER_PR="","",TITLE_NUMBER_PR),TITLE_NUMBER_PR_CHANGE)</f>
        <v/>
      </c>
      <c r="AD29" s="2069"/>
      <c r="AE29" s="2069"/>
      <c r="AF29" s="2069"/>
      <c r="AG29" s="2069"/>
      <c r="AH29" s="2069"/>
      <c r="AI29" s="248"/>
      <c r="AJ29" s="248"/>
      <c r="AK29" s="196"/>
      <c r="AL29" s="292"/>
      <c r="AM29" s="292"/>
      <c r="AN29" s="292"/>
      <c r="AO29" s="292"/>
      <c r="AP29" s="292"/>
    </row>
    <row r="30" spans="1:42" s="1773" customFormat="1" ht="18.75" hidden="1" customHeight="1">
      <c r="A30" s="1286"/>
      <c r="B30" s="1286"/>
      <c r="C30" s="1286"/>
      <c r="D30" s="1286"/>
      <c r="E30" s="1286"/>
      <c r="F30" s="1286"/>
      <c r="G30" s="1286"/>
      <c r="H30" s="1286"/>
      <c r="I30" s="1286"/>
      <c r="J30" s="1286"/>
      <c r="K30" s="1286"/>
      <c r="L30" s="1287"/>
      <c r="M30" s="1286"/>
      <c r="N30" s="1286"/>
      <c r="O30" s="1286"/>
      <c r="S30" s="2067" t="s">
        <v>41</v>
      </c>
      <c r="T30" s="2067"/>
      <c r="U30" s="1290"/>
      <c r="V30" s="2069" t="str">
        <f>IF(TITLE_IST_PUB_CHANGE="",IF(TITLE_IST_PUB="","",TITLE_IST_PUB),TITLE_IST_PUB_CHANGE)</f>
        <v/>
      </c>
      <c r="W30" s="2069"/>
      <c r="X30" s="2069"/>
      <c r="Y30" s="2069"/>
      <c r="Z30" s="2069"/>
      <c r="AA30" s="2069"/>
      <c r="AB30" s="248"/>
      <c r="AC30" s="2069" t="str">
        <f>IF(TITLE_IST_PUB_CHANGE="",IF(TITLE_IST_PUB="","",TITLE_IST_PUB),TITLE_IST_PUB_CHANGE)</f>
        <v/>
      </c>
      <c r="AD30" s="2069"/>
      <c r="AE30" s="2069"/>
      <c r="AF30" s="2069"/>
      <c r="AG30" s="2069"/>
      <c r="AH30" s="2069"/>
      <c r="AI30" s="248"/>
      <c r="AJ30" s="248"/>
      <c r="AK30" s="196"/>
      <c r="AL30" s="292"/>
      <c r="AM30" s="292"/>
      <c r="AN30" s="292"/>
      <c r="AO30" s="292"/>
      <c r="AP30" s="292"/>
    </row>
    <row r="31" spans="1:42" ht="14.25" hidden="1" customHeight="1">
      <c r="Q31" s="300"/>
      <c r="R31" s="300"/>
      <c r="S31" s="1197"/>
      <c r="T31" s="286"/>
      <c r="U31" s="286"/>
      <c r="V31" s="242"/>
      <c r="W31" s="242"/>
      <c r="X31" s="242"/>
      <c r="Y31" s="242"/>
      <c r="Z31" s="242"/>
      <c r="AA31" s="242"/>
      <c r="AB31" s="242"/>
      <c r="AC31" s="242"/>
      <c r="AD31" s="242"/>
      <c r="AE31" s="242"/>
      <c r="AF31" s="242"/>
      <c r="AG31" s="242"/>
      <c r="AH31" s="242"/>
      <c r="AI31" s="242"/>
      <c r="AJ31" s="435"/>
    </row>
    <row r="32" spans="1:42" s="1773" customFormat="1" ht="18.75" hidden="1" customHeight="1">
      <c r="A32" s="1286"/>
      <c r="B32" s="1286"/>
      <c r="C32" s="1286"/>
      <c r="D32" s="1286"/>
      <c r="E32" s="1286"/>
      <c r="F32" s="1286"/>
      <c r="G32" s="1286"/>
      <c r="H32" s="1286"/>
      <c r="I32" s="1286"/>
      <c r="J32" s="1286"/>
      <c r="K32" s="1286"/>
      <c r="L32" s="1287"/>
      <c r="M32" s="1286"/>
      <c r="N32" s="1286"/>
      <c r="O32" s="1286"/>
      <c r="S32" s="2067" t="s">
        <v>485</v>
      </c>
      <c r="T32" s="2067"/>
      <c r="U32" s="1290"/>
      <c r="V32" s="2068" t="str">
        <f>IF(TITLE_DATE_CHANGE_PERIOD="",IF(TITLE_DATE_PR="","",TITLE_DATE_PR),TITLE_DATE_CHANGE_PERIOD)</f>
        <v/>
      </c>
      <c r="W32" s="2068"/>
      <c r="X32" s="2068"/>
      <c r="Y32" s="2068"/>
      <c r="Z32" s="2068"/>
      <c r="AA32" s="2068"/>
      <c r="AB32" s="248"/>
      <c r="AC32" s="2068" t="str">
        <f>IF(TITLE_DATE_CHANGE_PERIOD="",IF(TITLE_DATE_PR="","",TITLE_DATE_PR),TITLE_DATE_CHANGE_PERIOD)</f>
        <v/>
      </c>
      <c r="AD32" s="2068"/>
      <c r="AE32" s="2068"/>
      <c r="AF32" s="2068"/>
      <c r="AG32" s="2068"/>
      <c r="AH32" s="2068"/>
      <c r="AI32" s="248"/>
      <c r="AJ32" s="248"/>
      <c r="AK32" s="196"/>
      <c r="AL32" s="292"/>
      <c r="AM32" s="292"/>
      <c r="AN32" s="292"/>
      <c r="AO32" s="292"/>
      <c r="AP32" s="292"/>
    </row>
    <row r="33" spans="1:42" s="1773" customFormat="1" ht="18.75" hidden="1" customHeight="1">
      <c r="A33" s="1286"/>
      <c r="B33" s="1286"/>
      <c r="C33" s="1286"/>
      <c r="D33" s="1286"/>
      <c r="E33" s="1286"/>
      <c r="F33" s="1286"/>
      <c r="G33" s="1286"/>
      <c r="H33" s="1286"/>
      <c r="I33" s="1286"/>
      <c r="J33" s="1286"/>
      <c r="K33" s="1286"/>
      <c r="L33" s="1287"/>
      <c r="M33" s="1286"/>
      <c r="N33" s="1286"/>
      <c r="O33" s="1286"/>
      <c r="S33" s="2067" t="s">
        <v>486</v>
      </c>
      <c r="T33" s="2067"/>
      <c r="U33" s="1290"/>
      <c r="V33" s="2069" t="str">
        <f>IF(TITLE_NUMBER_PR_CHANGE="",IF(TITLE_NUMBER_PR="","",TITLE_NUMBER_PR),TITLE_NUMBER_PR_CHANGE)</f>
        <v/>
      </c>
      <c r="W33" s="2069"/>
      <c r="X33" s="2069"/>
      <c r="Y33" s="2069"/>
      <c r="Z33" s="2069"/>
      <c r="AA33" s="2069"/>
      <c r="AB33" s="248"/>
      <c r="AC33" s="2069" t="str">
        <f>IF(TITLE_NUMBER_PR_CHANGE="",IF(TITLE_NUMBER_PR="","",TITLE_NUMBER_PR),TITLE_NUMBER_PR_CHANGE)</f>
        <v/>
      </c>
      <c r="AD33" s="2069"/>
      <c r="AE33" s="2069"/>
      <c r="AF33" s="2069"/>
      <c r="AG33" s="2069"/>
      <c r="AH33" s="2069"/>
      <c r="AI33" s="248"/>
      <c r="AJ33" s="248"/>
      <c r="AK33" s="196"/>
      <c r="AL33" s="292"/>
      <c r="AM33" s="292"/>
      <c r="AN33" s="292"/>
      <c r="AO33" s="292"/>
      <c r="AP33" s="292"/>
    </row>
    <row r="34" spans="1:42" s="1773" customFormat="1" ht="0.75" customHeight="1">
      <c r="A34" s="1286"/>
      <c r="B34" s="1286"/>
      <c r="C34" s="1286"/>
      <c r="D34" s="1286"/>
      <c r="E34" s="1286"/>
      <c r="F34" s="1286"/>
      <c r="G34" s="1286"/>
      <c r="H34" s="1286"/>
      <c r="I34" s="1286"/>
      <c r="J34" s="1286"/>
      <c r="K34" s="1286"/>
      <c r="L34" s="1287"/>
      <c r="M34" s="1286"/>
      <c r="N34" s="1286"/>
      <c r="O34" s="1286"/>
      <c r="S34" s="244"/>
      <c r="T34" s="244"/>
      <c r="U34" s="1400"/>
      <c r="V34" s="248"/>
      <c r="W34" s="248"/>
      <c r="X34" s="248"/>
      <c r="Y34" s="248"/>
      <c r="Z34" s="248"/>
      <c r="AA34" s="248"/>
      <c r="AB34" s="194" t="s">
        <v>487</v>
      </c>
      <c r="AC34" s="248"/>
      <c r="AD34" s="248"/>
      <c r="AE34" s="248"/>
      <c r="AF34" s="248"/>
      <c r="AG34" s="248"/>
      <c r="AH34" s="248"/>
      <c r="AI34" s="194" t="s">
        <v>487</v>
      </c>
      <c r="AL34" s="292"/>
      <c r="AM34" s="292"/>
      <c r="AN34" s="292"/>
      <c r="AO34" s="292"/>
      <c r="AP34" s="292"/>
    </row>
    <row r="35" spans="1:42" ht="14.25" customHeight="1">
      <c r="Q35" s="300"/>
      <c r="R35" s="300"/>
      <c r="S35" s="1197"/>
      <c r="T35" s="286"/>
      <c r="U35" s="1155"/>
      <c r="V35" s="2087"/>
      <c r="W35" s="2087"/>
      <c r="X35" s="2087"/>
      <c r="Y35" s="2087"/>
      <c r="Z35" s="2087"/>
      <c r="AA35" s="2087"/>
      <c r="AB35" s="2087"/>
      <c r="AC35" s="2087"/>
      <c r="AD35" s="2087"/>
      <c r="AE35" s="2087"/>
      <c r="AF35" s="2087"/>
      <c r="AG35" s="2087"/>
      <c r="AH35" s="2087"/>
      <c r="AI35" s="2087"/>
    </row>
    <row r="36" spans="1:42" ht="14.25" customHeight="1">
      <c r="Q36" s="300"/>
      <c r="R36" s="300"/>
      <c r="S36" s="1874" t="s">
        <v>291</v>
      </c>
      <c r="T36" s="1874"/>
      <c r="U36" s="1874"/>
      <c r="V36" s="1874"/>
      <c r="W36" s="1874"/>
      <c r="X36" s="1874"/>
      <c r="Y36" s="1874"/>
      <c r="Z36" s="1874"/>
      <c r="AA36" s="1874"/>
      <c r="AB36" s="1874"/>
      <c r="AC36" s="1874"/>
      <c r="AD36" s="1874"/>
      <c r="AE36" s="1874"/>
      <c r="AF36" s="1874"/>
      <c r="AG36" s="1874"/>
      <c r="AH36" s="1874"/>
      <c r="AI36" s="1874"/>
      <c r="AJ36" s="1874"/>
      <c r="AK36" s="1874" t="s">
        <v>292</v>
      </c>
    </row>
    <row r="37" spans="1:42" ht="14.25" customHeight="1">
      <c r="Q37" s="300"/>
      <c r="R37" s="300"/>
      <c r="S37" s="2088" t="s">
        <v>88</v>
      </c>
      <c r="T37" s="1959" t="s">
        <v>488</v>
      </c>
      <c r="U37" s="215"/>
      <c r="V37" s="2089" t="s">
        <v>489</v>
      </c>
      <c r="W37" s="2090"/>
      <c r="X37" s="2090"/>
      <c r="Y37" s="2090"/>
      <c r="Z37" s="2090"/>
      <c r="AA37" s="2091"/>
      <c r="AB37" s="2092" t="s">
        <v>490</v>
      </c>
      <c r="AC37" s="2089" t="s">
        <v>489</v>
      </c>
      <c r="AD37" s="2090"/>
      <c r="AE37" s="2090"/>
      <c r="AF37" s="2090"/>
      <c r="AG37" s="2090"/>
      <c r="AH37" s="2091"/>
      <c r="AI37" s="2092" t="s">
        <v>491</v>
      </c>
      <c r="AJ37" s="2095" t="s">
        <v>492</v>
      </c>
      <c r="AK37" s="1874"/>
    </row>
    <row r="38" spans="1:42" ht="33.75" customHeight="1">
      <c r="Q38" s="300"/>
      <c r="R38" s="300"/>
      <c r="S38" s="2088"/>
      <c r="T38" s="1959"/>
      <c r="U38" s="939"/>
      <c r="V38" s="1395" t="s">
        <v>1684</v>
      </c>
      <c r="W38" s="1856" t="s">
        <v>495</v>
      </c>
      <c r="X38" s="1855"/>
      <c r="Y38" s="1856" t="s">
        <v>496</v>
      </c>
      <c r="Z38" s="1861"/>
      <c r="AA38" s="1855"/>
      <c r="AB38" s="2093"/>
      <c r="AC38" s="1395" t="s">
        <v>1684</v>
      </c>
      <c r="AD38" s="1856" t="s">
        <v>495</v>
      </c>
      <c r="AE38" s="1855"/>
      <c r="AF38" s="1856" t="s">
        <v>496</v>
      </c>
      <c r="AG38" s="1861"/>
      <c r="AH38" s="1855"/>
      <c r="AI38" s="2093"/>
      <c r="AJ38" s="2096"/>
      <c r="AK38" s="1874"/>
    </row>
    <row r="39" spans="1:42" ht="86.25" customHeight="1">
      <c r="A39" s="1288"/>
      <c r="B39" s="1288" t="s">
        <v>140</v>
      </c>
      <c r="C39" s="1288" t="s">
        <v>141</v>
      </c>
      <c r="D39" s="1288" t="s">
        <v>142</v>
      </c>
      <c r="E39" s="1282" t="s">
        <v>497</v>
      </c>
      <c r="F39" s="1282" t="s">
        <v>498</v>
      </c>
      <c r="G39" s="1282" t="s">
        <v>499</v>
      </c>
      <c r="H39" s="1282"/>
      <c r="I39" s="1282" t="s">
        <v>1685</v>
      </c>
      <c r="J39" s="1282" t="s">
        <v>502</v>
      </c>
      <c r="K39" s="1282" t="s">
        <v>1686</v>
      </c>
      <c r="L39" s="1282" t="s">
        <v>478</v>
      </c>
      <c r="Q39" s="300"/>
      <c r="R39" s="300"/>
      <c r="S39" s="2088"/>
      <c r="T39" s="1959"/>
      <c r="U39" s="216"/>
      <c r="V39" s="1395" t="s">
        <v>2065</v>
      </c>
      <c r="W39" s="1130" t="s">
        <v>2066</v>
      </c>
      <c r="X39" s="1130" t="s">
        <v>1689</v>
      </c>
      <c r="Y39" s="1401" t="s">
        <v>506</v>
      </c>
      <c r="Z39" s="1965" t="s">
        <v>507</v>
      </c>
      <c r="AA39" s="1979"/>
      <c r="AB39" s="2094"/>
      <c r="AC39" s="1395" t="s">
        <v>2065</v>
      </c>
      <c r="AD39" s="1130" t="s">
        <v>2066</v>
      </c>
      <c r="AE39" s="1130" t="s">
        <v>1689</v>
      </c>
      <c r="AF39" s="1401" t="s">
        <v>506</v>
      </c>
      <c r="AG39" s="1965" t="s">
        <v>507</v>
      </c>
      <c r="AH39" s="1979"/>
      <c r="AI39" s="2094"/>
      <c r="AJ39" s="2097"/>
      <c r="AK39" s="1874"/>
    </row>
    <row r="40" spans="1:42" s="1558" customFormat="1" ht="0" hidden="1" customHeight="1">
      <c r="A40" s="1288"/>
      <c r="B40" s="1288"/>
      <c r="C40" s="1288"/>
      <c r="D40" s="1288"/>
      <c r="E40" s="1288"/>
      <c r="F40" s="1288"/>
      <c r="G40" s="1288"/>
      <c r="H40" s="1288"/>
      <c r="I40" s="1288"/>
      <c r="J40" s="1288"/>
      <c r="K40" s="1288"/>
      <c r="L40" s="1282"/>
      <c r="M40" s="1280"/>
      <c r="N40" s="1280"/>
      <c r="O40" s="1280"/>
      <c r="P40" s="1157"/>
      <c r="Q40" s="1158"/>
      <c r="R40" s="1173">
        <v>1</v>
      </c>
      <c r="S40" s="1199" t="s">
        <v>109</v>
      </c>
      <c r="T40" s="1174" t="s">
        <v>110</v>
      </c>
      <c r="U40" s="1156" t="str">
        <f ca="1">OFFSET(U40,0,-1)</f>
        <v>2</v>
      </c>
      <c r="V40" s="1394">
        <f ca="1">OFFSET(V40,0,-1)+1</f>
        <v>3</v>
      </c>
      <c r="W40" s="1394">
        <f ca="1">OFFSET(W40,0,-1)+1</f>
        <v>4</v>
      </c>
      <c r="X40" s="1394">
        <f ca="1">OFFSET(X40,0,-1)+1</f>
        <v>5</v>
      </c>
      <c r="Y40" s="1394">
        <f ca="1">OFFSET(Y40,0,-1)+1</f>
        <v>6</v>
      </c>
      <c r="Z40" s="2086">
        <f ca="1">OFFSET(Z40,0,-1)+1</f>
        <v>7</v>
      </c>
      <c r="AA40" s="2086"/>
      <c r="AB40" s="1394">
        <f ca="1">OFFSET(AB40,0,-2)+1</f>
        <v>8</v>
      </c>
      <c r="AC40" s="1394">
        <f ca="1">OFFSET(AC40,0,-1)+1</f>
        <v>9</v>
      </c>
      <c r="AD40" s="1394">
        <f ca="1">OFFSET(AD40,0,-1)+1</f>
        <v>10</v>
      </c>
      <c r="AE40" s="1394">
        <f ca="1">OFFSET(AE40,0,-1)+1</f>
        <v>11</v>
      </c>
      <c r="AF40" s="1394">
        <f ca="1">OFFSET(AF40,0,-1)+1</f>
        <v>12</v>
      </c>
      <c r="AG40" s="2086">
        <f ca="1">OFFSET(AG40,0,-1)+1</f>
        <v>13</v>
      </c>
      <c r="AH40" s="2086"/>
      <c r="AI40" s="1394">
        <f ca="1">OFFSET(AI40,0,-2)+1</f>
        <v>14</v>
      </c>
      <c r="AJ40" s="1156">
        <f ca="1">OFFSET(AJ40,0,-1)</f>
        <v>14</v>
      </c>
      <c r="AK40" s="1394">
        <f ca="1">OFFSET(AK40,0,-1)+1</f>
        <v>15</v>
      </c>
      <c r="AL40" s="437"/>
      <c r="AM40" s="437"/>
      <c r="AN40" s="437"/>
      <c r="AO40" s="437"/>
      <c r="AP40" s="437"/>
    </row>
    <row r="41" spans="1:42" ht="23.25" customHeight="1">
      <c r="A41" s="1281" t="s">
        <v>262</v>
      </c>
      <c r="B41" s="1281"/>
      <c r="C41" s="1281"/>
      <c r="D41" s="1281"/>
      <c r="E41" s="2076">
        <v>1</v>
      </c>
      <c r="F41" s="1281"/>
      <c r="G41" s="1281"/>
      <c r="H41" s="1281"/>
      <c r="I41" s="1281"/>
      <c r="J41" s="1281"/>
      <c r="K41" s="1281"/>
      <c r="L41" s="1282"/>
      <c r="M41" s="1283"/>
      <c r="N41" s="1283"/>
      <c r="O41" s="1283"/>
      <c r="P41" s="282"/>
      <c r="Q41" s="281"/>
      <c r="R41" s="276"/>
      <c r="S41" s="1405">
        <f>INDEX(PT_DIFFERENTIATION_NUM_NTAR,MATCH(A41,PT_DIFFERENTIATION_NTAR_ID,0))</f>
        <v>0</v>
      </c>
      <c r="T41" s="212" t="s">
        <v>128</v>
      </c>
      <c r="U41" s="214"/>
      <c r="V41" s="2070"/>
      <c r="W41" s="2071"/>
      <c r="X41" s="2071"/>
      <c r="Y41" s="2071"/>
      <c r="Z41" s="2071"/>
      <c r="AA41" s="2071"/>
      <c r="AB41" s="2072"/>
      <c r="AC41" s="2070" t="str">
        <f>INDEX(PT_DIFFERENTIATION_NTAR,MATCH(A41,PT_DIFFERENTIATION_NTAR_ID,0))</f>
        <v/>
      </c>
      <c r="AD41" s="2071"/>
      <c r="AE41" s="2071"/>
      <c r="AF41" s="2071"/>
      <c r="AG41" s="2071"/>
      <c r="AH41" s="2071"/>
      <c r="AI41" s="2071"/>
      <c r="AJ41" s="2072"/>
      <c r="AK41" s="117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426"/>
      <c r="AN41" s="426" t="str">
        <f t="shared" ref="AN41:AN53" si="1">IF(T41="","",T41)</f>
        <v>Наименование тарифа</v>
      </c>
      <c r="AO41" s="426"/>
      <c r="AP41" s="426"/>
    </row>
    <row r="42" spans="1:42" ht="23.25" customHeight="1">
      <c r="A42" s="1281" t="s">
        <v>262</v>
      </c>
      <c r="B42" s="1281" t="s">
        <v>263</v>
      </c>
      <c r="C42" s="1281"/>
      <c r="D42" s="1281"/>
      <c r="E42" s="2077"/>
      <c r="F42" s="2076">
        <v>1</v>
      </c>
      <c r="G42" s="1281"/>
      <c r="H42" s="1281"/>
      <c r="I42" s="1281"/>
      <c r="J42" s="1281"/>
      <c r="K42" s="1281"/>
      <c r="L42" s="1282"/>
      <c r="M42" s="1283"/>
      <c r="N42" s="1283"/>
      <c r="O42" s="1283"/>
      <c r="P42" s="1399"/>
      <c r="Q42" s="273"/>
      <c r="R42" s="274"/>
      <c r="S42" s="1405" t="str">
        <f>INDEX(PT_DIFFERENTIATION_NUM_TER,MATCH(B42,PT_DIFFERENTIATION_TER_ID,0))</f>
        <v>.</v>
      </c>
      <c r="T42" s="224" t="s">
        <v>460</v>
      </c>
      <c r="U42" s="214"/>
      <c r="V42" s="2070"/>
      <c r="W42" s="2071"/>
      <c r="X42" s="2071"/>
      <c r="Y42" s="2071"/>
      <c r="Z42" s="2071"/>
      <c r="AA42" s="2071"/>
      <c r="AB42" s="2072"/>
      <c r="AC42" s="2070" t="str">
        <f>INDEX(PT_DIFFERENTIATION_TER,MATCH(B42,PT_DIFFERENTIATION_TER_ID,0))</f>
        <v/>
      </c>
      <c r="AD42" s="2071"/>
      <c r="AE42" s="2071"/>
      <c r="AF42" s="2071"/>
      <c r="AG42" s="2071"/>
      <c r="AH42" s="2071"/>
      <c r="AI42" s="2071"/>
      <c r="AJ42" s="2072"/>
      <c r="AK42" s="1179" t="s">
        <v>461</v>
      </c>
      <c r="AM42" s="426"/>
      <c r="AN42" s="426" t="str">
        <f t="shared" si="1"/>
        <v>Территория действия тарифа</v>
      </c>
      <c r="AO42" s="426"/>
      <c r="AP42" s="426"/>
    </row>
    <row r="43" spans="1:42" ht="23.25" customHeight="1">
      <c r="A43" s="1281" t="s">
        <v>262</v>
      </c>
      <c r="B43" s="1281" t="s">
        <v>263</v>
      </c>
      <c r="C43" s="1281" t="s">
        <v>264</v>
      </c>
      <c r="D43" s="1281"/>
      <c r="E43" s="2077"/>
      <c r="F43" s="2077"/>
      <c r="G43" s="2076">
        <v>1</v>
      </c>
      <c r="H43" s="1281"/>
      <c r="I43" s="1281"/>
      <c r="J43" s="1281"/>
      <c r="K43" s="1281"/>
      <c r="L43" s="1282"/>
      <c r="M43" s="1283"/>
      <c r="N43" s="1283"/>
      <c r="O43" s="1283"/>
      <c r="P43" s="275"/>
      <c r="Q43" s="273"/>
      <c r="R43" s="274"/>
      <c r="S43" s="1405" t="str">
        <f>INDEX(PT_DIFFERENTIATION_NUM_CS,MATCH(C43,PT_DIFFERENTIATION_CS_ID,0))</f>
        <v>..</v>
      </c>
      <c r="T43" s="225" t="s">
        <v>2063</v>
      </c>
      <c r="U43" s="214"/>
      <c r="V43" s="2070"/>
      <c r="W43" s="2071"/>
      <c r="X43" s="2071"/>
      <c r="Y43" s="2071"/>
      <c r="Z43" s="2071"/>
      <c r="AA43" s="2071"/>
      <c r="AB43" s="2072"/>
      <c r="AC43" s="2070" t="str">
        <f>INDEX(PT_DIFFERENTIATION_CS,MATCH(C43,PT_DIFFERENTIATION_CS_ID,0))</f>
        <v/>
      </c>
      <c r="AD43" s="2071"/>
      <c r="AE43" s="2071"/>
      <c r="AF43" s="2071"/>
      <c r="AG43" s="2071"/>
      <c r="AH43" s="2071"/>
      <c r="AI43" s="2071"/>
      <c r="AJ43" s="2072"/>
      <c r="AK43" s="1179" t="s">
        <v>2064</v>
      </c>
      <c r="AM43" s="426"/>
      <c r="AN43" s="426" t="str">
        <f t="shared" si="1"/>
        <v>Наименование централизованной системы водоотведения</v>
      </c>
      <c r="AO43" s="426"/>
      <c r="AP43" s="426"/>
    </row>
    <row r="44" spans="1:42" ht="23.25" customHeight="1">
      <c r="A44" s="1281" t="s">
        <v>262</v>
      </c>
      <c r="B44" s="1281" t="s">
        <v>263</v>
      </c>
      <c r="C44" s="1281" t="s">
        <v>264</v>
      </c>
      <c r="D44" s="1281" t="s">
        <v>2070</v>
      </c>
      <c r="E44" s="2077"/>
      <c r="F44" s="2077"/>
      <c r="G44" s="2077"/>
      <c r="H44" s="2077"/>
      <c r="I44" s="2078" t="str">
        <f>S43&amp;".1"</f>
        <v>...1</v>
      </c>
      <c r="J44" s="1281"/>
      <c r="K44" s="1281"/>
      <c r="L44" s="1282"/>
      <c r="P44" s="1995">
        <v>1</v>
      </c>
      <c r="Q44" s="1393"/>
      <c r="R44" s="277"/>
      <c r="S44" s="1405" t="str">
        <f>$I44</f>
        <v>...1</v>
      </c>
      <c r="T44" s="200" t="s">
        <v>1678</v>
      </c>
      <c r="U44" s="214"/>
      <c r="V44" s="2176"/>
      <c r="W44" s="2177"/>
      <c r="X44" s="2177"/>
      <c r="Y44" s="2177"/>
      <c r="Z44" s="2177"/>
      <c r="AA44" s="2177"/>
      <c r="AB44" s="2178"/>
      <c r="AC44" s="2179"/>
      <c r="AD44" s="2180"/>
      <c r="AE44" s="2180"/>
      <c r="AF44" s="2180"/>
      <c r="AG44" s="2180"/>
      <c r="AH44" s="2180"/>
      <c r="AI44" s="2180"/>
      <c r="AJ44" s="2181"/>
      <c r="AK44" s="1179" t="s">
        <v>1679</v>
      </c>
      <c r="AM44" s="426"/>
      <c r="AN44" s="426" t="str">
        <f t="shared" si="1"/>
        <v>Наименование признака дифференциации</v>
      </c>
      <c r="AO44" s="426"/>
      <c r="AP44" s="426"/>
    </row>
    <row r="45" spans="1:42" ht="23.25" customHeight="1">
      <c r="A45" s="1281" t="s">
        <v>262</v>
      </c>
      <c r="B45" s="1281" t="s">
        <v>263</v>
      </c>
      <c r="C45" s="1281" t="s">
        <v>264</v>
      </c>
      <c r="D45" s="1281" t="s">
        <v>2070</v>
      </c>
      <c r="E45" s="2077"/>
      <c r="F45" s="2077"/>
      <c r="G45" s="2077"/>
      <c r="H45" s="2077"/>
      <c r="I45" s="2079"/>
      <c r="J45" s="2078" t="str">
        <f>I44&amp;".1"</f>
        <v>...1.1</v>
      </c>
      <c r="K45" s="1281"/>
      <c r="L45" s="1282" t="s">
        <v>469</v>
      </c>
      <c r="P45" s="1995"/>
      <c r="Q45" s="1995">
        <v>1</v>
      </c>
      <c r="R45" s="278"/>
      <c r="S45" s="1405" t="str">
        <f>$J45</f>
        <v>...1.1</v>
      </c>
      <c r="T45" s="201" t="s">
        <v>470</v>
      </c>
      <c r="U45" s="214"/>
      <c r="V45" s="2064"/>
      <c r="W45" s="2065"/>
      <c r="X45" s="2065"/>
      <c r="Y45" s="2065"/>
      <c r="Z45" s="2065"/>
      <c r="AA45" s="2065"/>
      <c r="AB45" s="2066"/>
      <c r="AC45" s="2064"/>
      <c r="AD45" s="2065"/>
      <c r="AE45" s="2065"/>
      <c r="AF45" s="2065"/>
      <c r="AG45" s="2065"/>
      <c r="AH45" s="2065"/>
      <c r="AI45" s="2065"/>
      <c r="AJ45" s="2066"/>
      <c r="AK45" s="1228" t="s">
        <v>1680</v>
      </c>
      <c r="AM45" s="426"/>
      <c r="AN45" s="426" t="str">
        <f t="shared" si="1"/>
        <v>Группа потребителей</v>
      </c>
      <c r="AO45" s="426"/>
      <c r="AP45" s="426"/>
    </row>
    <row r="46" spans="1:42" ht="23.25" customHeight="1">
      <c r="A46" s="1281" t="s">
        <v>262</v>
      </c>
      <c r="B46" s="1281" t="s">
        <v>263</v>
      </c>
      <c r="C46" s="1281" t="s">
        <v>264</v>
      </c>
      <c r="D46" s="1281" t="s">
        <v>2070</v>
      </c>
      <c r="E46" s="2077"/>
      <c r="F46" s="2077"/>
      <c r="G46" s="2077"/>
      <c r="H46" s="2077"/>
      <c r="I46" s="2079"/>
      <c r="J46" s="2079"/>
      <c r="K46" s="2078" t="str">
        <f>J45&amp;".1"</f>
        <v>...1.1.1</v>
      </c>
      <c r="L46" s="1282"/>
      <c r="P46" s="1995"/>
      <c r="Q46" s="1995"/>
      <c r="R46" s="278">
        <v>1</v>
      </c>
      <c r="S46" s="1405" t="str">
        <f>$K46</f>
        <v>...1.1.1</v>
      </c>
      <c r="T46" s="1354"/>
      <c r="U46" s="214"/>
      <c r="V46" s="1278"/>
      <c r="W46" s="1278"/>
      <c r="X46" s="1279"/>
      <c r="Y46" s="2074"/>
      <c r="Z46" s="2073" t="s">
        <v>59</v>
      </c>
      <c r="AA46" s="2074"/>
      <c r="AB46" s="2073" t="s">
        <v>59</v>
      </c>
      <c r="AC46" s="664"/>
      <c r="AD46" s="664"/>
      <c r="AE46" s="1178"/>
      <c r="AF46" s="2080"/>
      <c r="AG46" s="1885" t="s">
        <v>59</v>
      </c>
      <c r="AH46" s="2082"/>
      <c r="AI46" s="1885" t="s">
        <v>57</v>
      </c>
      <c r="AJ46" s="1355"/>
      <c r="AK46" s="2182"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437" t="e">
        <f ca="1">STRCHECKDATE(V47:AJ47)</f>
        <v>#NAME?</v>
      </c>
      <c r="AM46" s="426"/>
      <c r="AN46" s="426" t="str">
        <f t="shared" si="1"/>
        <v/>
      </c>
      <c r="AO46" s="426"/>
      <c r="AP46" s="426"/>
    </row>
    <row r="47" spans="1:42" ht="0" hidden="1" customHeight="1">
      <c r="A47" s="1281" t="s">
        <v>262</v>
      </c>
      <c r="B47" s="1281" t="s">
        <v>263</v>
      </c>
      <c r="C47" s="1281" t="s">
        <v>264</v>
      </c>
      <c r="D47" s="1281" t="s">
        <v>2070</v>
      </c>
      <c r="E47" s="2077"/>
      <c r="F47" s="2077"/>
      <c r="G47" s="2077"/>
      <c r="H47" s="2077"/>
      <c r="I47" s="2079"/>
      <c r="J47" s="2079"/>
      <c r="K47" s="2078"/>
      <c r="L47" s="1282"/>
      <c r="P47" s="1995"/>
      <c r="Q47" s="1995"/>
      <c r="R47" s="278"/>
      <c r="S47" s="1402"/>
      <c r="T47" s="214"/>
      <c r="U47" s="214"/>
      <c r="V47" s="1278"/>
      <c r="W47" s="1278"/>
      <c r="X47" s="250" t="str">
        <f>Y46&amp;"-"&amp;AA46</f>
        <v>-</v>
      </c>
      <c r="Y47" s="2073"/>
      <c r="Z47" s="2073"/>
      <c r="AA47" s="2073"/>
      <c r="AB47" s="2073"/>
      <c r="AC47" s="246"/>
      <c r="AD47" s="246"/>
      <c r="AE47" s="250" t="str">
        <f>AF46&amp;"-"&amp;AH46</f>
        <v>-</v>
      </c>
      <c r="AF47" s="2081"/>
      <c r="AG47" s="1885"/>
      <c r="AH47" s="2083"/>
      <c r="AI47" s="1885"/>
      <c r="AJ47" s="1356"/>
      <c r="AK47" s="2182"/>
      <c r="AM47" s="426"/>
      <c r="AN47" s="426" t="str">
        <f t="shared" si="1"/>
        <v/>
      </c>
      <c r="AO47" s="426"/>
      <c r="AP47" s="426"/>
    </row>
    <row r="48" spans="1:42" ht="21" customHeight="1">
      <c r="A48" s="1281" t="s">
        <v>262</v>
      </c>
      <c r="B48" s="1281" t="s">
        <v>263</v>
      </c>
      <c r="C48" s="1281" t="s">
        <v>264</v>
      </c>
      <c r="D48" s="1281" t="s">
        <v>2070</v>
      </c>
      <c r="E48" s="2077"/>
      <c r="F48" s="2077"/>
      <c r="G48" s="2077"/>
      <c r="H48" s="2077"/>
      <c r="I48" s="2079"/>
      <c r="J48" s="2078"/>
      <c r="K48" s="1281"/>
      <c r="L48" s="1282"/>
      <c r="P48" s="1995"/>
      <c r="Q48" s="1995"/>
      <c r="R48" s="277"/>
      <c r="S48" s="1200"/>
      <c r="T48" s="202" t="s">
        <v>1681</v>
      </c>
      <c r="U48" s="291"/>
      <c r="V48" s="291"/>
      <c r="W48" s="291"/>
      <c r="X48" s="291"/>
      <c r="Y48" s="291"/>
      <c r="Z48" s="291"/>
      <c r="AA48" s="291"/>
      <c r="AB48" s="291"/>
      <c r="AC48" s="291"/>
      <c r="AD48" s="291"/>
      <c r="AE48" s="291"/>
      <c r="AF48" s="291"/>
      <c r="AG48" s="291"/>
      <c r="AH48" s="291"/>
      <c r="AI48" s="291"/>
      <c r="AJ48" s="291"/>
      <c r="AK48" s="1179" t="s">
        <v>1682</v>
      </c>
      <c r="AM48" s="426"/>
      <c r="AN48" s="426" t="str">
        <f t="shared" si="1"/>
        <v>Добавить значение признака дифференциации</v>
      </c>
      <c r="AO48" s="426"/>
      <c r="AP48" s="426"/>
    </row>
    <row r="49" spans="1:42" ht="21" customHeight="1">
      <c r="A49" s="1281" t="s">
        <v>262</v>
      </c>
      <c r="B49" s="1281" t="s">
        <v>263</v>
      </c>
      <c r="C49" s="1281" t="s">
        <v>264</v>
      </c>
      <c r="D49" s="1281" t="s">
        <v>2070</v>
      </c>
      <c r="E49" s="2077"/>
      <c r="F49" s="2077"/>
      <c r="G49" s="2077"/>
      <c r="H49" s="2077"/>
      <c r="I49" s="2078"/>
      <c r="J49" s="1281"/>
      <c r="K49" s="1281"/>
      <c r="L49" s="1282"/>
      <c r="P49" s="1995"/>
      <c r="Q49" s="1393"/>
      <c r="R49" s="277"/>
      <c r="S49" s="1200"/>
      <c r="T49" s="288" t="s">
        <v>475</v>
      </c>
      <c r="U49" s="291"/>
      <c r="V49" s="291"/>
      <c r="W49" s="291"/>
      <c r="X49" s="291"/>
      <c r="Y49" s="291"/>
      <c r="Z49" s="291"/>
      <c r="AA49" s="291"/>
      <c r="AB49" s="290"/>
      <c r="AC49" s="291"/>
      <c r="AD49" s="291"/>
      <c r="AE49" s="291"/>
      <c r="AF49" s="291"/>
      <c r="AG49" s="291"/>
      <c r="AH49" s="291"/>
      <c r="AI49" s="290"/>
      <c r="AJ49" s="291"/>
      <c r="AK49" s="1357"/>
      <c r="AM49" s="426"/>
      <c r="AN49" s="426" t="str">
        <f t="shared" si="1"/>
        <v>Добавить группу потребителей</v>
      </c>
      <c r="AO49" s="426"/>
      <c r="AP49" s="426"/>
    </row>
    <row r="50" spans="1:42" ht="21" customHeight="1">
      <c r="A50" s="1281" t="s">
        <v>262</v>
      </c>
      <c r="B50" s="1281" t="s">
        <v>263</v>
      </c>
      <c r="C50" s="1281" t="s">
        <v>264</v>
      </c>
      <c r="D50" s="1281" t="s">
        <v>2070</v>
      </c>
      <c r="E50" s="2077"/>
      <c r="F50" s="2077"/>
      <c r="G50" s="2077"/>
      <c r="H50" s="2076"/>
      <c r="I50" s="1281"/>
      <c r="J50" s="1281"/>
      <c r="K50" s="1281"/>
      <c r="L50" s="1282"/>
      <c r="M50" s="1283"/>
      <c r="N50" s="1283"/>
      <c r="O50" s="462"/>
      <c r="P50" s="281"/>
      <c r="Q50" s="299"/>
      <c r="R50" s="276"/>
      <c r="S50" s="1200"/>
      <c r="T50" s="296" t="s">
        <v>1683</v>
      </c>
      <c r="U50" s="291"/>
      <c r="V50" s="291"/>
      <c r="W50" s="291"/>
      <c r="X50" s="291"/>
      <c r="Y50" s="291"/>
      <c r="Z50" s="291"/>
      <c r="AA50" s="291"/>
      <c r="AB50" s="290"/>
      <c r="AC50" s="291"/>
      <c r="AD50" s="291"/>
      <c r="AE50" s="291"/>
      <c r="AF50" s="291"/>
      <c r="AG50" s="291"/>
      <c r="AH50" s="291"/>
      <c r="AI50" s="290"/>
      <c r="AJ50" s="291"/>
      <c r="AK50" s="217"/>
      <c r="AM50" s="426"/>
      <c r="AN50" s="426" t="str">
        <f t="shared" si="1"/>
        <v>Добавить наименование признака дифференциации</v>
      </c>
      <c r="AO50" s="426"/>
      <c r="AP50" s="426"/>
    </row>
    <row r="51" spans="1:42" s="1559" customFormat="1" ht="0" hidden="1" customHeight="1">
      <c r="A51" s="1262" t="s">
        <v>262</v>
      </c>
      <c r="B51" s="1262" t="s">
        <v>263</v>
      </c>
      <c r="C51" s="1234"/>
      <c r="D51" s="1234"/>
      <c r="E51" s="2077"/>
      <c r="F51" s="2076"/>
      <c r="G51" s="1234"/>
      <c r="H51" s="1234"/>
      <c r="I51" s="1234"/>
      <c r="J51" s="1234"/>
      <c r="K51" s="1234"/>
      <c r="L51" s="1406"/>
      <c r="M51" s="1241"/>
      <c r="N51" s="1241"/>
      <c r="P51" s="1236"/>
      <c r="Q51" s="1237"/>
      <c r="R51" s="1236"/>
      <c r="S51" s="1242"/>
      <c r="T51" s="1245" t="s">
        <v>434</v>
      </c>
      <c r="U51" s="1244"/>
      <c r="V51" s="1244"/>
      <c r="W51" s="1244"/>
      <c r="X51" s="1244"/>
      <c r="Y51" s="1244"/>
      <c r="Z51" s="1244"/>
      <c r="AA51" s="1244"/>
      <c r="AB51" s="1244"/>
      <c r="AC51" s="1244"/>
      <c r="AD51" s="1244"/>
      <c r="AE51" s="1244"/>
      <c r="AF51" s="1244"/>
      <c r="AG51" s="1244"/>
      <c r="AH51" s="1244"/>
      <c r="AI51" s="1244"/>
      <c r="AJ51" s="1244"/>
      <c r="AK51" s="1244"/>
      <c r="AM51" s="702"/>
      <c r="AN51" s="702" t="str">
        <f t="shared" si="1"/>
        <v>Добавить централизованную систему для дифференциации</v>
      </c>
      <c r="AO51" s="702"/>
      <c r="AP51" s="702"/>
    </row>
    <row r="52" spans="1:42" s="1559" customFormat="1" ht="0" hidden="1" customHeight="1">
      <c r="A52" s="1262" t="s">
        <v>262</v>
      </c>
      <c r="B52" s="1262"/>
      <c r="C52" s="1262"/>
      <c r="D52" s="1262"/>
      <c r="E52" s="2076"/>
      <c r="F52" s="1262"/>
      <c r="G52" s="1262"/>
      <c r="H52" s="1262"/>
      <c r="I52" s="1262"/>
      <c r="J52" s="1262"/>
      <c r="K52" s="1262"/>
      <c r="L52" s="1265"/>
      <c r="M52" s="1241"/>
      <c r="N52" s="1241"/>
      <c r="O52" s="444"/>
      <c r="P52" s="308"/>
      <c r="Q52" s="1263"/>
      <c r="R52" s="308"/>
      <c r="S52" s="1242"/>
      <c r="T52" s="1245" t="s">
        <v>435</v>
      </c>
      <c r="U52" s="1244"/>
      <c r="V52" s="1244"/>
      <c r="W52" s="1244"/>
      <c r="X52" s="1244"/>
      <c r="Y52" s="1244"/>
      <c r="Z52" s="1244"/>
      <c r="AA52" s="1244"/>
      <c r="AB52" s="1244"/>
      <c r="AC52" s="1244"/>
      <c r="AD52" s="1244"/>
      <c r="AE52" s="1244"/>
      <c r="AF52" s="1244"/>
      <c r="AG52" s="1244"/>
      <c r="AH52" s="1244"/>
      <c r="AI52" s="1244"/>
      <c r="AJ52" s="1244"/>
      <c r="AK52" s="1244"/>
      <c r="AM52" s="426"/>
      <c r="AN52" s="426" t="str">
        <f t="shared" si="1"/>
        <v>Добавить территорию для дифференциации</v>
      </c>
      <c r="AO52" s="426"/>
      <c r="AP52" s="426"/>
    </row>
    <row r="53" spans="1:42" s="1559" customFormat="1" ht="0" hidden="1" customHeight="1">
      <c r="A53" s="1234"/>
      <c r="B53" s="1234"/>
      <c r="C53" s="1234"/>
      <c r="D53" s="1234"/>
      <c r="E53" s="1262"/>
      <c r="F53" s="1234"/>
      <c r="G53" s="1234"/>
      <c r="H53" s="1234"/>
      <c r="I53" s="1234"/>
      <c r="J53" s="1234"/>
      <c r="K53" s="1234"/>
      <c r="L53" s="1406"/>
      <c r="M53" s="1241"/>
      <c r="N53" s="1241"/>
      <c r="P53" s="1236"/>
      <c r="Q53" s="1237"/>
      <c r="R53" s="1236"/>
      <c r="S53" s="1242"/>
      <c r="T53" s="1245" t="s">
        <v>436</v>
      </c>
      <c r="U53" s="1244"/>
      <c r="V53" s="1244"/>
      <c r="W53" s="1244"/>
      <c r="X53" s="1244"/>
      <c r="Y53" s="1244"/>
      <c r="Z53" s="1244"/>
      <c r="AA53" s="1244"/>
      <c r="AB53" s="1244"/>
      <c r="AC53" s="1244"/>
      <c r="AD53" s="1244"/>
      <c r="AE53" s="1244"/>
      <c r="AF53" s="1244"/>
      <c r="AG53" s="1244"/>
      <c r="AH53" s="1244"/>
      <c r="AI53" s="1244"/>
      <c r="AJ53" s="1244"/>
      <c r="AK53" s="1244"/>
      <c r="AM53" s="702"/>
      <c r="AN53" s="702" t="str">
        <f t="shared" si="1"/>
        <v>Добавить наименование тарифа</v>
      </c>
      <c r="AO53" s="702"/>
      <c r="AP53" s="702"/>
    </row>
    <row r="54" spans="1:42" ht="11.25" hidden="1" customHeight="1">
      <c r="M54" s="1062"/>
      <c r="N54" s="1062"/>
      <c r="O54" s="462"/>
      <c r="P54" s="1057"/>
      <c r="Q54" s="1057"/>
      <c r="R54" s="1057"/>
      <c r="S54" s="1057"/>
      <c r="AL54" s="1057"/>
      <c r="AM54" s="1057"/>
      <c r="AN54" s="1057"/>
      <c r="AO54" s="1057"/>
      <c r="AP54" s="1057"/>
    </row>
    <row r="55" spans="1:42" ht="14.25" hidden="1" customHeight="1">
      <c r="O55" s="462"/>
      <c r="S55" s="1166" t="s">
        <v>508</v>
      </c>
      <c r="T55" s="2075" t="s">
        <v>2068</v>
      </c>
      <c r="U55" s="2075"/>
      <c r="V55" s="2075"/>
      <c r="W55" s="2075"/>
      <c r="X55" s="2075"/>
      <c r="Y55" s="2075"/>
      <c r="Z55" s="2075"/>
      <c r="AA55" s="2075"/>
      <c r="AB55" s="2075"/>
      <c r="AC55" s="2075"/>
      <c r="AD55" s="2075"/>
      <c r="AE55" s="2075"/>
      <c r="AF55" s="2075"/>
      <c r="AG55" s="2075"/>
      <c r="AH55" s="2075"/>
      <c r="AI55" s="2075"/>
      <c r="AJ55" s="2075"/>
      <c r="AK55" s="2075"/>
    </row>
    <row r="56" spans="1:42" ht="14.25" hidden="1" customHeight="1">
      <c r="O56" s="462"/>
    </row>
    <row r="57" spans="1:42" ht="14.25" hidden="1" customHeight="1">
      <c r="O57" s="462"/>
      <c r="S57" s="1166" t="s">
        <v>508</v>
      </c>
      <c r="T57" s="2075" t="s">
        <v>2069</v>
      </c>
      <c r="U57" s="2075"/>
      <c r="V57" s="2075"/>
      <c r="W57" s="2075"/>
      <c r="X57" s="2075"/>
      <c r="Y57" s="2075"/>
      <c r="Z57" s="2075"/>
      <c r="AA57" s="2075"/>
      <c r="AB57" s="2075"/>
      <c r="AC57" s="2075"/>
      <c r="AD57" s="2075"/>
      <c r="AE57" s="2075"/>
      <c r="AF57" s="2075"/>
      <c r="AG57" s="2075"/>
      <c r="AH57" s="2075"/>
      <c r="AI57" s="2075"/>
      <c r="AJ57" s="2075"/>
      <c r="AK57" s="2075"/>
    </row>
  </sheetData>
  <sheetProtection formatColumns="0" formatRows="0" insertRows="0" deleteColumns="0" deleteRows="0" sort="0" autoFilter="0"/>
  <mergeCells count="101">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 ref="AK7:AK8"/>
    <mergeCell ref="AF15:AF16"/>
    <mergeCell ref="AG15:AG16"/>
    <mergeCell ref="AH15:AH16"/>
    <mergeCell ref="AI15:AI16"/>
    <mergeCell ref="Z7:Z8"/>
    <mergeCell ref="AA7:AA8"/>
    <mergeCell ref="AB7:AB8"/>
    <mergeCell ref="AF7:AF8"/>
    <mergeCell ref="AG7:AG8"/>
    <mergeCell ref="AH7:AH8"/>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46:AK47"/>
    <mergeCell ref="T55:AK55"/>
    <mergeCell ref="T57:AK57"/>
    <mergeCell ref="K46:K47"/>
    <mergeCell ref="Y46:Y47"/>
    <mergeCell ref="Z46:Z47"/>
    <mergeCell ref="AA46:AA47"/>
    <mergeCell ref="AB46:AB47"/>
    <mergeCell ref="AF46:AF47"/>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BH68"/>
  <sheetViews>
    <sheetView showGridLines="0" topLeftCell="R27" zoomScale="90" workbookViewId="0"/>
  </sheetViews>
  <sheetFormatPr defaultColWidth="10.5703125" defaultRowHeight="14.25" customHeight="1"/>
  <cols>
    <col min="1" max="1" width="11.5703125" style="1284" hidden="1" customWidth="1"/>
    <col min="2" max="2" width="11" style="1284" hidden="1" customWidth="1"/>
    <col min="3" max="3" width="10.5703125" style="1284" hidden="1"/>
    <col min="4" max="4" width="12.85546875" style="1284" hidden="1" customWidth="1"/>
    <col min="5" max="5" width="10" style="1284" hidden="1" customWidth="1"/>
    <col min="6" max="6" width="8.7109375" style="1284" hidden="1" customWidth="1"/>
    <col min="7" max="7" width="7.5703125" style="1284" hidden="1" customWidth="1"/>
    <col min="8" max="8" width="11.42578125" style="1284" hidden="1" customWidth="1"/>
    <col min="9" max="9" width="12" style="1284" hidden="1" customWidth="1"/>
    <col min="10" max="10" width="9.85546875" style="1284" hidden="1" customWidth="1"/>
    <col min="11" max="11" width="11.42578125" style="1284" hidden="1" customWidth="1"/>
    <col min="12" max="12" width="19.140625" style="1799" hidden="1" customWidth="1"/>
    <col min="13" max="14" width="12.28515625" style="1696" hidden="1" customWidth="1"/>
    <col min="15" max="15" width="23.42578125" style="1696" hidden="1" customWidth="1"/>
    <col min="16" max="16" width="3.7109375" style="1696" hidden="1" customWidth="1"/>
    <col min="17" max="17" width="3.7109375" style="1289" hidden="1" customWidth="1"/>
    <col min="18" max="18" width="3.7109375" style="265" customWidth="1"/>
    <col min="19" max="19" width="12.7109375" style="1806" customWidth="1"/>
    <col min="20" max="20" width="32" style="1552" customWidth="1"/>
    <col min="21" max="21" width="0.140625" style="1552" customWidth="1"/>
    <col min="22" max="25" width="21.7109375" style="1552" hidden="1" customWidth="1"/>
    <col min="26" max="26" width="11.7109375" style="1552" hidden="1" customWidth="1"/>
    <col min="27" max="27" width="3.7109375" style="1552" hidden="1" customWidth="1"/>
    <col min="28" max="28" width="11.7109375" style="1552" hidden="1" customWidth="1"/>
    <col min="29" max="29" width="8.5703125" style="1552" hidden="1" customWidth="1"/>
    <col min="30" max="32" width="3.7109375" style="1552" customWidth="1"/>
    <col min="33" max="33" width="24.7109375" style="1552" customWidth="1"/>
    <col min="34" max="36" width="3.7109375" style="1552" customWidth="1"/>
    <col min="37" max="37" width="24.7109375" style="1552" customWidth="1"/>
    <col min="38" max="40" width="3.7109375" style="1552" customWidth="1"/>
    <col min="41" max="41" width="18.85546875" style="1552" customWidth="1"/>
    <col min="42" max="44" width="3.7109375" style="1552" customWidth="1"/>
    <col min="45" max="45" width="18.85546875" style="1552" customWidth="1"/>
    <col min="46" max="49" width="21.7109375" style="1552" customWidth="1"/>
    <col min="50" max="50" width="11.7109375" style="1552" customWidth="1"/>
    <col min="51" max="51" width="3.7109375" style="1552" customWidth="1"/>
    <col min="52" max="52" width="11.7109375" style="1552" customWidth="1"/>
    <col min="53" max="53" width="8.5703125" style="1552" hidden="1" customWidth="1"/>
    <col min="54" max="54" width="4.7109375" style="1552" customWidth="1"/>
    <col min="55" max="55" width="115.7109375" style="1552" customWidth="1"/>
    <col min="56" max="57" width="10.5703125" style="1559"/>
    <col min="58" max="58" width="11.140625" style="1559" customWidth="1"/>
    <col min="59" max="60" width="10.5703125" style="1559"/>
  </cols>
  <sheetData>
    <row r="1" spans="1:60" ht="14.25" hidden="1" customHeight="1">
      <c r="W1" s="249"/>
      <c r="Y1" s="249"/>
      <c r="Z1" s="249"/>
      <c r="AW1" s="249"/>
      <c r="AX1" s="249"/>
    </row>
    <row r="2" spans="1:60" ht="21" hidden="1" customHeight="1">
      <c r="A2" s="1281"/>
      <c r="B2" s="1281"/>
      <c r="C2" s="1281"/>
      <c r="D2" s="1281"/>
      <c r="E2" s="2076">
        <v>1</v>
      </c>
      <c r="F2" s="1281"/>
      <c r="G2" s="1281"/>
      <c r="H2" s="1281"/>
      <c r="I2" s="1281"/>
      <c r="J2" s="1281"/>
      <c r="K2" s="1281"/>
      <c r="L2" s="1282"/>
      <c r="M2" s="1283"/>
      <c r="N2" s="1283"/>
      <c r="O2" s="1283"/>
      <c r="P2" s="1327"/>
      <c r="Q2" s="786"/>
      <c r="R2" s="276"/>
      <c r="S2" s="1405" t="e">
        <f>INDEX(PT_DIFFERENTIATION_NUM_NTAR,MATCH(A2,PT_DIFFERENTIATION_NTAR_ID,0))</f>
        <v>#N/A</v>
      </c>
      <c r="T2" s="212" t="s">
        <v>128</v>
      </c>
      <c r="U2" s="214"/>
      <c r="V2" s="2071"/>
      <c r="W2" s="2071"/>
      <c r="X2" s="2071"/>
      <c r="Y2" s="2071"/>
      <c r="Z2" s="2071"/>
      <c r="AA2" s="2071"/>
      <c r="AB2" s="2071"/>
      <c r="AC2" s="2072"/>
      <c r="AD2" s="2070" t="e">
        <f>INDEX(PT_DIFFERENTIATION_NTAR,MATCH(A2,PT_DIFFERENTIATION_NTAR_ID,0))</f>
        <v>#N/A</v>
      </c>
      <c r="AE2" s="2071"/>
      <c r="AF2" s="2071"/>
      <c r="AG2" s="2071"/>
      <c r="AH2" s="2071"/>
      <c r="AI2" s="2071"/>
      <c r="AJ2" s="2071"/>
      <c r="AK2" s="2071"/>
      <c r="AL2" s="2071"/>
      <c r="AM2" s="2071"/>
      <c r="AN2" s="2071"/>
      <c r="AO2" s="2071"/>
      <c r="AP2" s="2071"/>
      <c r="AQ2" s="2071"/>
      <c r="AR2" s="2071"/>
      <c r="AS2" s="2071"/>
      <c r="AT2" s="2071"/>
      <c r="AU2" s="2071"/>
      <c r="AV2" s="2071"/>
      <c r="AW2" s="2071"/>
      <c r="AX2" s="2071"/>
      <c r="AY2" s="2071"/>
      <c r="AZ2" s="2071"/>
      <c r="BA2" s="2071"/>
      <c r="BB2" s="2072"/>
      <c r="BC2" s="117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426"/>
      <c r="BF2" s="426" t="str">
        <f t="shared" ref="BF2:BF8" si="0">IF(T2="","",T2)</f>
        <v>Наименование тарифа</v>
      </c>
      <c r="BG2" s="426"/>
      <c r="BH2" s="426"/>
    </row>
    <row r="3" spans="1:60" ht="21" hidden="1" customHeight="1">
      <c r="A3" s="1281"/>
      <c r="B3" s="1281"/>
      <c r="C3" s="1281"/>
      <c r="D3" s="1281"/>
      <c r="E3" s="2077"/>
      <c r="F3" s="2076">
        <v>1</v>
      </c>
      <c r="G3" s="1281"/>
      <c r="H3" s="1281"/>
      <c r="I3" s="1281"/>
      <c r="J3" s="1281"/>
      <c r="K3" s="1281"/>
      <c r="L3" s="1282"/>
      <c r="M3" s="1283"/>
      <c r="N3" s="1283"/>
      <c r="O3" s="1283"/>
      <c r="P3" s="1328"/>
      <c r="Q3" s="1329"/>
      <c r="R3" s="274"/>
      <c r="S3" s="1405" t="e">
        <f>INDEX(PT_DIFFERENTIATION_NUM_TER,MATCH(B3,PT_DIFFERENTIATION_TER_ID,0))</f>
        <v>#N/A</v>
      </c>
      <c r="T3" s="224" t="s">
        <v>460</v>
      </c>
      <c r="U3" s="214"/>
      <c r="V3" s="2071"/>
      <c r="W3" s="2071"/>
      <c r="X3" s="2071"/>
      <c r="Y3" s="2071"/>
      <c r="Z3" s="2071"/>
      <c r="AA3" s="2071"/>
      <c r="AB3" s="2071"/>
      <c r="AC3" s="2072"/>
      <c r="AD3" s="2070" t="e">
        <f>INDEX(PT_DIFFERENTIATION_TER,MATCH(B3,PT_DIFFERENTIATION_TER_ID,0))</f>
        <v>#N/A</v>
      </c>
      <c r="AE3" s="2071"/>
      <c r="AF3" s="2071"/>
      <c r="AG3" s="2071"/>
      <c r="AH3" s="2071"/>
      <c r="AI3" s="2071"/>
      <c r="AJ3" s="2071"/>
      <c r="AK3" s="2071"/>
      <c r="AL3" s="2071"/>
      <c r="AM3" s="2071"/>
      <c r="AN3" s="2071"/>
      <c r="AO3" s="2071"/>
      <c r="AP3" s="2071"/>
      <c r="AQ3" s="2071"/>
      <c r="AR3" s="2071"/>
      <c r="AS3" s="2071"/>
      <c r="AT3" s="2071"/>
      <c r="AU3" s="2071"/>
      <c r="AV3" s="2071"/>
      <c r="AW3" s="2071"/>
      <c r="AX3" s="2071"/>
      <c r="AY3" s="2071"/>
      <c r="AZ3" s="2071"/>
      <c r="BA3" s="2071"/>
      <c r="BB3" s="2072"/>
      <c r="BC3" s="1179" t="s">
        <v>461</v>
      </c>
      <c r="BE3" s="426"/>
      <c r="BF3" s="426" t="str">
        <f t="shared" si="0"/>
        <v>Территория действия тарифа</v>
      </c>
      <c r="BG3" s="426"/>
      <c r="BH3" s="426"/>
    </row>
    <row r="4" spans="1:60" ht="33.75" hidden="1" customHeight="1">
      <c r="A4" s="1281"/>
      <c r="B4" s="1281"/>
      <c r="C4" s="1281"/>
      <c r="D4" s="1281"/>
      <c r="E4" s="2077"/>
      <c r="F4" s="2077"/>
      <c r="G4" s="2076">
        <v>1</v>
      </c>
      <c r="H4" s="1281"/>
      <c r="I4" s="1281"/>
      <c r="J4" s="1281"/>
      <c r="K4" s="1281"/>
      <c r="L4" s="1282"/>
      <c r="M4" s="1283"/>
      <c r="N4" s="1283"/>
      <c r="O4" s="1283"/>
      <c r="P4" s="1330"/>
      <c r="Q4" s="1329"/>
      <c r="R4" s="274"/>
      <c r="S4" s="1405" t="e">
        <f>INDEX(PT_DIFFERENTIATION_NUM_CS,MATCH(C4,PT_DIFFERENTIATION_CS_ID,0))</f>
        <v>#N/A</v>
      </c>
      <c r="T4" s="225" t="s">
        <v>2063</v>
      </c>
      <c r="U4" s="214"/>
      <c r="V4" s="2071"/>
      <c r="W4" s="2071"/>
      <c r="X4" s="2071"/>
      <c r="Y4" s="2071"/>
      <c r="Z4" s="2071"/>
      <c r="AA4" s="2071"/>
      <c r="AB4" s="2071"/>
      <c r="AC4" s="2072"/>
      <c r="AD4" s="2070" t="e">
        <f>INDEX(PT_DIFFERENTIATION_CS,MATCH(C4,PT_DIFFERENTIATION_CS_ID,0))</f>
        <v>#N/A</v>
      </c>
      <c r="AE4" s="2071"/>
      <c r="AF4" s="2071"/>
      <c r="AG4" s="2071"/>
      <c r="AH4" s="2071"/>
      <c r="AI4" s="2071"/>
      <c r="AJ4" s="2071"/>
      <c r="AK4" s="2071"/>
      <c r="AL4" s="2071"/>
      <c r="AM4" s="2071"/>
      <c r="AN4" s="2071"/>
      <c r="AO4" s="2071"/>
      <c r="AP4" s="2071"/>
      <c r="AQ4" s="2071"/>
      <c r="AR4" s="2071"/>
      <c r="AS4" s="2071"/>
      <c r="AT4" s="2071"/>
      <c r="AU4" s="2071"/>
      <c r="AV4" s="2071"/>
      <c r="AW4" s="2071"/>
      <c r="AX4" s="2071"/>
      <c r="AY4" s="2071"/>
      <c r="AZ4" s="2071"/>
      <c r="BA4" s="2071"/>
      <c r="BB4" s="2072"/>
      <c r="BC4" s="1179" t="s">
        <v>2064</v>
      </c>
      <c r="BE4" s="426"/>
      <c r="BF4" s="426" t="str">
        <f t="shared" si="0"/>
        <v>Наименование централизованной системы водоотведения</v>
      </c>
      <c r="BG4" s="426"/>
      <c r="BH4" s="426"/>
    </row>
    <row r="5" spans="1:60" s="1559" customFormat="1" ht="14.25" hidden="1" customHeight="1">
      <c r="A5" s="1262"/>
      <c r="B5" s="1262"/>
      <c r="C5" s="1262"/>
      <c r="D5" s="1262"/>
      <c r="E5" s="2077"/>
      <c r="F5" s="2077"/>
      <c r="G5" s="2077"/>
      <c r="H5" s="2076">
        <v>1</v>
      </c>
      <c r="I5" s="1262"/>
      <c r="J5" s="1262"/>
      <c r="K5" s="1262"/>
      <c r="L5" s="1265"/>
      <c r="M5" s="1235"/>
      <c r="N5" s="1235"/>
      <c r="O5" s="1235"/>
      <c r="P5" s="1409"/>
      <c r="Q5" s="1410"/>
      <c r="R5" s="278"/>
      <c r="S5" s="950"/>
      <c r="T5" s="1411"/>
      <c r="U5" s="1302"/>
      <c r="V5" s="2106"/>
      <c r="W5" s="2106"/>
      <c r="X5" s="2106"/>
      <c r="Y5" s="2106"/>
      <c r="Z5" s="2106"/>
      <c r="AA5" s="2106"/>
      <c r="AB5" s="2106"/>
      <c r="AC5" s="2107"/>
      <c r="AD5" s="2105"/>
      <c r="AE5" s="2106"/>
      <c r="AF5" s="2106"/>
      <c r="AG5" s="2106"/>
      <c r="AH5" s="2106"/>
      <c r="AI5" s="2106"/>
      <c r="AJ5" s="2106"/>
      <c r="AK5" s="2106"/>
      <c r="AL5" s="2106"/>
      <c r="AM5" s="2106"/>
      <c r="AN5" s="2106"/>
      <c r="AO5" s="2106"/>
      <c r="AP5" s="2106"/>
      <c r="AQ5" s="2106"/>
      <c r="AR5" s="2106"/>
      <c r="AS5" s="2106"/>
      <c r="AT5" s="2106"/>
      <c r="AU5" s="2106"/>
      <c r="AV5" s="2106"/>
      <c r="AW5" s="2106"/>
      <c r="AX5" s="2106"/>
      <c r="AY5" s="2106"/>
      <c r="AZ5" s="2106"/>
      <c r="BA5" s="2106"/>
      <c r="BB5" s="2107"/>
      <c r="BC5" s="1303" t="s">
        <v>465</v>
      </c>
      <c r="BE5" s="426"/>
      <c r="BF5" s="426" t="str">
        <f t="shared" si="0"/>
        <v/>
      </c>
      <c r="BG5" s="426"/>
      <c r="BH5" s="426"/>
    </row>
    <row r="6" spans="1:60" s="1559" customFormat="1" ht="14.25" hidden="1" customHeight="1">
      <c r="A6" s="1262"/>
      <c r="B6" s="1262"/>
      <c r="C6" s="1262"/>
      <c r="D6" s="1262"/>
      <c r="E6" s="2077"/>
      <c r="F6" s="2077"/>
      <c r="G6" s="2077"/>
      <c r="H6" s="2077"/>
      <c r="I6" s="2078" t="str">
        <f>S5&amp;".1"</f>
        <v>.1</v>
      </c>
      <c r="J6" s="1262"/>
      <c r="K6" s="1262"/>
      <c r="L6" s="1265" t="s">
        <v>466</v>
      </c>
      <c r="M6" s="436"/>
      <c r="N6" s="436"/>
      <c r="O6" s="436"/>
      <c r="P6" s="1995">
        <v>1</v>
      </c>
      <c r="Q6" s="1393"/>
      <c r="R6" s="277"/>
      <c r="S6" s="950"/>
      <c r="T6" s="1301"/>
      <c r="U6" s="1302"/>
      <c r="V6" s="2106"/>
      <c r="W6" s="2106"/>
      <c r="X6" s="2106"/>
      <c r="Y6" s="2106"/>
      <c r="Z6" s="2106"/>
      <c r="AA6" s="2106"/>
      <c r="AB6" s="2106"/>
      <c r="AC6" s="2107"/>
      <c r="AD6" s="2105"/>
      <c r="AE6" s="2106"/>
      <c r="AF6" s="2106"/>
      <c r="AG6" s="2106"/>
      <c r="AH6" s="2106"/>
      <c r="AI6" s="2106"/>
      <c r="AJ6" s="2106"/>
      <c r="AK6" s="2106"/>
      <c r="AL6" s="2106"/>
      <c r="AM6" s="2106"/>
      <c r="AN6" s="2106"/>
      <c r="AO6" s="2106"/>
      <c r="AP6" s="2106"/>
      <c r="AQ6" s="2106"/>
      <c r="AR6" s="2106"/>
      <c r="AS6" s="2106"/>
      <c r="AT6" s="2106"/>
      <c r="AU6" s="2106"/>
      <c r="AV6" s="2106"/>
      <c r="AW6" s="2106"/>
      <c r="AX6" s="2106"/>
      <c r="AY6" s="2106"/>
      <c r="AZ6" s="2106"/>
      <c r="BA6" s="2106"/>
      <c r="BB6" s="2107"/>
      <c r="BC6" s="1303"/>
      <c r="BE6" s="426"/>
      <c r="BF6" s="426" t="str">
        <f t="shared" si="0"/>
        <v/>
      </c>
      <c r="BG6" s="426"/>
      <c r="BH6" s="426"/>
    </row>
    <row r="7" spans="1:60" s="1559" customFormat="1" ht="14.25" hidden="1" customHeight="1">
      <c r="A7" s="1262"/>
      <c r="B7" s="1262"/>
      <c r="C7" s="1262"/>
      <c r="D7" s="1262"/>
      <c r="E7" s="2077"/>
      <c r="F7" s="2077"/>
      <c r="G7" s="2077"/>
      <c r="H7" s="2077"/>
      <c r="I7" s="2079"/>
      <c r="J7" s="2078" t="str">
        <f>S5&amp;".1"</f>
        <v>.1</v>
      </c>
      <c r="K7" s="1262"/>
      <c r="L7" s="1265"/>
      <c r="M7" s="436"/>
      <c r="N7" s="436"/>
      <c r="O7" s="436"/>
      <c r="P7" s="1995"/>
      <c r="Q7" s="1995">
        <v>1</v>
      </c>
      <c r="R7" s="278"/>
      <c r="S7" s="950"/>
      <c r="T7" s="1317"/>
      <c r="U7" s="1302"/>
      <c r="V7" s="2106"/>
      <c r="W7" s="2106"/>
      <c r="X7" s="2106"/>
      <c r="Y7" s="2106"/>
      <c r="Z7" s="2106"/>
      <c r="AA7" s="2106"/>
      <c r="AB7" s="2106"/>
      <c r="AC7" s="2107"/>
      <c r="AD7" s="2105"/>
      <c r="AE7" s="2106"/>
      <c r="AF7" s="2106"/>
      <c r="AG7" s="2106"/>
      <c r="AH7" s="2106"/>
      <c r="AI7" s="2106"/>
      <c r="AJ7" s="2106"/>
      <c r="AK7" s="2106"/>
      <c r="AL7" s="2106"/>
      <c r="AM7" s="2106"/>
      <c r="AN7" s="2106"/>
      <c r="AO7" s="2106"/>
      <c r="AP7" s="2106"/>
      <c r="AQ7" s="2106"/>
      <c r="AR7" s="2106"/>
      <c r="AS7" s="2106"/>
      <c r="AT7" s="2106"/>
      <c r="AU7" s="2106"/>
      <c r="AV7" s="2106"/>
      <c r="AW7" s="2106"/>
      <c r="AX7" s="2106"/>
      <c r="AY7" s="2106"/>
      <c r="AZ7" s="2106"/>
      <c r="BA7" s="2106"/>
      <c r="BB7" s="2107"/>
      <c r="BC7" s="1303"/>
      <c r="BE7" s="426"/>
      <c r="BF7" s="426" t="str">
        <f t="shared" si="0"/>
        <v/>
      </c>
      <c r="BG7" s="426"/>
      <c r="BH7" s="426"/>
    </row>
    <row r="8" spans="1:60" ht="11.25" hidden="1" customHeight="1">
      <c r="A8" s="1281"/>
      <c r="B8" s="1281"/>
      <c r="C8" s="1281"/>
      <c r="D8" s="1281"/>
      <c r="E8" s="2077"/>
      <c r="F8" s="2077"/>
      <c r="G8" s="2077"/>
      <c r="H8" s="2077"/>
      <c r="I8" s="2079"/>
      <c r="J8" s="2079"/>
      <c r="K8" s="2078" t="e">
        <f>S4&amp;".1"</f>
        <v>#N/A</v>
      </c>
      <c r="L8" s="1282"/>
      <c r="P8" s="1995"/>
      <c r="Q8" s="1995"/>
      <c r="R8" s="2129">
        <v>1</v>
      </c>
      <c r="S8" s="2126" t="e">
        <f>$K8</f>
        <v>#N/A</v>
      </c>
      <c r="T8" s="2185"/>
      <c r="U8" s="214"/>
      <c r="V8" s="664"/>
      <c r="W8" s="1178"/>
      <c r="X8" s="664"/>
      <c r="Y8" s="1178"/>
      <c r="Z8" s="1650"/>
      <c r="AA8" s="1382" t="s">
        <v>59</v>
      </c>
      <c r="AB8" s="1650"/>
      <c r="AC8" s="1382" t="s">
        <v>59</v>
      </c>
      <c r="AD8" s="1941" t="s">
        <v>59</v>
      </c>
      <c r="AE8" s="2122"/>
      <c r="AF8" s="1954">
        <v>1</v>
      </c>
      <c r="AG8" s="2184"/>
      <c r="AH8" s="1885" t="s">
        <v>59</v>
      </c>
      <c r="AI8" s="2122"/>
      <c r="AJ8" s="1954">
        <v>1</v>
      </c>
      <c r="AK8" s="2183" t="s">
        <v>18</v>
      </c>
      <c r="AL8" s="1885" t="s">
        <v>59</v>
      </c>
      <c r="AM8" s="1929"/>
      <c r="AN8" s="1954">
        <v>1</v>
      </c>
      <c r="AO8" s="2188"/>
      <c r="AP8" s="2189" t="s">
        <v>59</v>
      </c>
      <c r="AQ8" s="227"/>
      <c r="AR8" s="1398">
        <v>1</v>
      </c>
      <c r="AS8" s="1404" t="s">
        <v>18</v>
      </c>
      <c r="AT8" s="664"/>
      <c r="AU8" s="1178"/>
      <c r="AV8" s="664"/>
      <c r="AW8" s="1178"/>
      <c r="AX8" s="1650"/>
      <c r="AY8" s="1382" t="s">
        <v>59</v>
      </c>
      <c r="AZ8" s="1650"/>
      <c r="BA8" s="1382" t="s">
        <v>59</v>
      </c>
      <c r="BB8" s="1267"/>
      <c r="BC8" s="2098" t="s">
        <v>1696</v>
      </c>
      <c r="BE8" s="426"/>
      <c r="BF8" s="426" t="str">
        <f t="shared" si="0"/>
        <v/>
      </c>
      <c r="BG8" s="426"/>
      <c r="BH8" s="426"/>
    </row>
    <row r="9" spans="1:60" ht="11.25" hidden="1" customHeight="1">
      <c r="A9" s="1281"/>
      <c r="B9" s="1281"/>
      <c r="C9" s="1281"/>
      <c r="D9" s="1281"/>
      <c r="E9" s="2077"/>
      <c r="F9" s="2077"/>
      <c r="G9" s="2077"/>
      <c r="H9" s="2077"/>
      <c r="I9" s="2079"/>
      <c r="J9" s="2079"/>
      <c r="K9" s="2078"/>
      <c r="L9" s="1282"/>
      <c r="P9" s="1995"/>
      <c r="Q9" s="1995"/>
      <c r="R9" s="2129"/>
      <c r="S9" s="2127"/>
      <c r="T9" s="2186"/>
      <c r="U9" s="214"/>
      <c r="V9" s="1311"/>
      <c r="W9" s="1408"/>
      <c r="X9" s="1311"/>
      <c r="Y9" s="1408"/>
      <c r="Z9" s="1311"/>
      <c r="AA9" s="1311"/>
      <c r="AB9" s="1311"/>
      <c r="AC9" s="1311"/>
      <c r="AD9" s="1942"/>
      <c r="AE9" s="2122"/>
      <c r="AF9" s="1954"/>
      <c r="AG9" s="2184"/>
      <c r="AH9" s="1885"/>
      <c r="AI9" s="2122"/>
      <c r="AJ9" s="1954"/>
      <c r="AK9" s="2183"/>
      <c r="AL9" s="1885"/>
      <c r="AM9" s="1934"/>
      <c r="AN9" s="1954"/>
      <c r="AO9" s="2188"/>
      <c r="AP9" s="2190"/>
      <c r="AQ9" s="234"/>
      <c r="AR9" s="346"/>
      <c r="AS9" s="346" t="s">
        <v>1697</v>
      </c>
      <c r="AT9" s="1311"/>
      <c r="AU9" s="1408"/>
      <c r="AV9" s="1311"/>
      <c r="AW9" s="1408"/>
      <c r="AX9" s="1311"/>
      <c r="AY9" s="1311"/>
      <c r="AZ9" s="1311"/>
      <c r="BA9" s="1311"/>
      <c r="BB9" s="1315"/>
      <c r="BC9" s="2099"/>
      <c r="BE9" s="426"/>
      <c r="BF9" s="426"/>
      <c r="BG9" s="426"/>
      <c r="BH9" s="426"/>
    </row>
    <row r="10" spans="1:60" ht="11.25" hidden="1" customHeight="1">
      <c r="A10" s="1281"/>
      <c r="B10" s="1281"/>
      <c r="C10" s="1281"/>
      <c r="D10" s="1281"/>
      <c r="E10" s="2077"/>
      <c r="F10" s="2077"/>
      <c r="G10" s="2077"/>
      <c r="H10" s="2077"/>
      <c r="I10" s="2079"/>
      <c r="J10" s="2079"/>
      <c r="K10" s="2078"/>
      <c r="L10" s="1282"/>
      <c r="P10" s="1995"/>
      <c r="Q10" s="1995"/>
      <c r="R10" s="2129"/>
      <c r="S10" s="2127"/>
      <c r="T10" s="2186"/>
      <c r="U10" s="214"/>
      <c r="V10" s="1311"/>
      <c r="W10" s="1408"/>
      <c r="X10" s="1311"/>
      <c r="Y10" s="1408"/>
      <c r="Z10" s="1311"/>
      <c r="AA10" s="1311"/>
      <c r="AB10" s="1311"/>
      <c r="AC10" s="1311"/>
      <c r="AD10" s="1942"/>
      <c r="AE10" s="2122"/>
      <c r="AF10" s="1954"/>
      <c r="AG10" s="2184"/>
      <c r="AH10" s="1885"/>
      <c r="AI10" s="2122"/>
      <c r="AJ10" s="1954"/>
      <c r="AK10" s="2183"/>
      <c r="AL10" s="1885"/>
      <c r="AM10" s="234"/>
      <c r="AN10" s="1412"/>
      <c r="AO10" s="1412" t="s">
        <v>2071</v>
      </c>
      <c r="AP10" s="346"/>
      <c r="AQ10" s="346"/>
      <c r="AR10" s="346"/>
      <c r="AS10" s="1311"/>
      <c r="AT10" s="1311"/>
      <c r="AU10" s="1408"/>
      <c r="AV10" s="1311"/>
      <c r="AW10" s="1408"/>
      <c r="AX10" s="1311"/>
      <c r="AY10" s="1311"/>
      <c r="AZ10" s="1311"/>
      <c r="BA10" s="1311"/>
      <c r="BB10" s="1315"/>
      <c r="BC10" s="2099"/>
      <c r="BE10" s="426"/>
      <c r="BF10" s="426"/>
      <c r="BG10" s="426"/>
      <c r="BH10" s="426"/>
    </row>
    <row r="11" spans="1:60" ht="11.25" hidden="1" customHeight="1">
      <c r="A11" s="1281"/>
      <c r="B11" s="1281"/>
      <c r="C11" s="1281"/>
      <c r="D11" s="1281"/>
      <c r="E11" s="2077"/>
      <c r="F11" s="2077"/>
      <c r="G11" s="2077"/>
      <c r="H11" s="2077"/>
      <c r="I11" s="2079"/>
      <c r="J11" s="2079"/>
      <c r="K11" s="2078"/>
      <c r="L11" s="1282"/>
      <c r="P11" s="1995"/>
      <c r="Q11" s="1995"/>
      <c r="R11" s="2129"/>
      <c r="S11" s="2127"/>
      <c r="T11" s="2186"/>
      <c r="U11" s="214"/>
      <c r="V11" s="1311"/>
      <c r="W11" s="1408"/>
      <c r="X11" s="1311"/>
      <c r="Y11" s="1408"/>
      <c r="Z11" s="1311"/>
      <c r="AA11" s="1311"/>
      <c r="AB11" s="1311"/>
      <c r="AC11" s="1311"/>
      <c r="AD11" s="1942"/>
      <c r="AE11" s="2122"/>
      <c r="AF11" s="1954"/>
      <c r="AG11" s="2184"/>
      <c r="AH11" s="1885"/>
      <c r="AI11" s="208"/>
      <c r="AJ11" s="345"/>
      <c r="AK11" s="229" t="s">
        <v>2072</v>
      </c>
      <c r="AL11" s="1311"/>
      <c r="AM11" s="1311"/>
      <c r="AN11" s="1311"/>
      <c r="AO11" s="1311"/>
      <c r="AP11" s="1311"/>
      <c r="AQ11" s="1311"/>
      <c r="AR11" s="1311"/>
      <c r="AS11" s="1311"/>
      <c r="AT11" s="1311"/>
      <c r="AU11" s="1408"/>
      <c r="AV11" s="1311"/>
      <c r="AW11" s="1408"/>
      <c r="AX11" s="1311"/>
      <c r="AY11" s="1311"/>
      <c r="AZ11" s="1311"/>
      <c r="BA11" s="1311"/>
      <c r="BB11" s="1315"/>
      <c r="BC11" s="2099"/>
      <c r="BE11" s="426"/>
      <c r="BF11" s="426"/>
      <c r="BG11" s="426"/>
      <c r="BH11" s="426"/>
    </row>
    <row r="12" spans="1:60" ht="11.25" hidden="1" customHeight="1">
      <c r="A12" s="1281"/>
      <c r="B12" s="1281"/>
      <c r="C12" s="1281"/>
      <c r="D12" s="1281"/>
      <c r="E12" s="2077"/>
      <c r="F12" s="2077"/>
      <c r="G12" s="2077"/>
      <c r="H12" s="2077"/>
      <c r="I12" s="2079"/>
      <c r="J12" s="2079"/>
      <c r="K12" s="2078"/>
      <c r="L12" s="1282"/>
      <c r="P12" s="1995"/>
      <c r="Q12" s="1995"/>
      <c r="R12" s="2129"/>
      <c r="S12" s="2128"/>
      <c r="T12" s="2187"/>
      <c r="U12" s="214"/>
      <c r="V12" s="1311"/>
      <c r="W12" s="1312" t="str">
        <f>Z8&amp;"-"&amp;AB8</f>
        <v>-</v>
      </c>
      <c r="X12" s="1311"/>
      <c r="Y12" s="1312" t="str">
        <f>AB8&amp;"-"&amp;AD8</f>
        <v>-да</v>
      </c>
      <c r="Z12" s="1311"/>
      <c r="AA12" s="1311"/>
      <c r="AB12" s="1311"/>
      <c r="AC12" s="1311"/>
      <c r="AD12" s="1890"/>
      <c r="AE12" s="228"/>
      <c r="AF12" s="230"/>
      <c r="AG12" s="346" t="s">
        <v>1700</v>
      </c>
      <c r="AH12" s="1311"/>
      <c r="AI12" s="1311"/>
      <c r="AJ12" s="1311"/>
      <c r="AK12" s="1311"/>
      <c r="AL12" s="1311"/>
      <c r="AM12" s="1311"/>
      <c r="AN12" s="1311"/>
      <c r="AO12" s="1311"/>
      <c r="AP12" s="1311"/>
      <c r="AQ12" s="1311"/>
      <c r="AR12" s="1311"/>
      <c r="AS12" s="1311"/>
      <c r="AT12" s="1311"/>
      <c r="AU12" s="1312" t="str">
        <f>AX8&amp;"-"&amp;AZ8</f>
        <v>-</v>
      </c>
      <c r="AV12" s="1311"/>
      <c r="AW12" s="1312" t="str">
        <f>AZ8&amp;"-"&amp;BB8</f>
        <v>-</v>
      </c>
      <c r="AX12" s="1311"/>
      <c r="AY12" s="1311"/>
      <c r="AZ12" s="1311"/>
      <c r="BA12" s="1311"/>
      <c r="BB12" s="1314" t="str">
        <f>BE8&amp;"-"&amp;BG8</f>
        <v>-</v>
      </c>
      <c r="BC12" s="2099"/>
      <c r="BE12" s="426"/>
      <c r="BF12" s="426" t="str">
        <f t="shared" ref="BF12:BF18" si="1">IF(T12="","",T12)</f>
        <v/>
      </c>
      <c r="BG12" s="426"/>
      <c r="BH12" s="426"/>
    </row>
    <row r="13" spans="1:60" ht="11.25" hidden="1" customHeight="1">
      <c r="A13" s="1281"/>
      <c r="B13" s="1281"/>
      <c r="C13" s="1281"/>
      <c r="D13" s="1281"/>
      <c r="E13" s="2077"/>
      <c r="F13" s="2077"/>
      <c r="G13" s="2077"/>
      <c r="H13" s="2077"/>
      <c r="I13" s="2079"/>
      <c r="J13" s="2078"/>
      <c r="K13" s="1281"/>
      <c r="L13" s="1282"/>
      <c r="P13" s="1995"/>
      <c r="Q13" s="1995"/>
      <c r="R13" s="277"/>
      <c r="S13" s="1200"/>
      <c r="T13" s="202" t="s">
        <v>540</v>
      </c>
      <c r="U13" s="291"/>
      <c r="V13" s="291"/>
      <c r="W13" s="291"/>
      <c r="X13" s="291"/>
      <c r="Y13" s="291"/>
      <c r="Z13" s="291"/>
      <c r="AA13" s="291"/>
      <c r="AB13" s="291"/>
      <c r="AC13" s="291"/>
      <c r="AD13" s="1417"/>
      <c r="AE13" s="291"/>
      <c r="AF13" s="291"/>
      <c r="AG13" s="291"/>
      <c r="AH13" s="291"/>
      <c r="AI13" s="291"/>
      <c r="AJ13" s="291"/>
      <c r="AK13" s="291"/>
      <c r="AL13" s="291"/>
      <c r="AM13" s="291"/>
      <c r="AN13" s="291"/>
      <c r="AO13" s="291"/>
      <c r="AP13" s="291"/>
      <c r="AQ13" s="291"/>
      <c r="AR13" s="291"/>
      <c r="AS13" s="291"/>
      <c r="AT13" s="291"/>
      <c r="AU13" s="291"/>
      <c r="AV13" s="291"/>
      <c r="AW13" s="291"/>
      <c r="AX13" s="291"/>
      <c r="AY13" s="291"/>
      <c r="AZ13" s="291"/>
      <c r="BA13" s="291"/>
      <c r="BB13" s="245"/>
      <c r="BC13" s="2100"/>
      <c r="BE13" s="426"/>
      <c r="BF13" s="426" t="str">
        <f t="shared" si="1"/>
        <v>Добавить строку</v>
      </c>
      <c r="BG13" s="426"/>
      <c r="BH13" s="426"/>
    </row>
    <row r="14" spans="1:60" s="1559" customFormat="1" ht="14.25" hidden="1" customHeight="1">
      <c r="A14" s="1262"/>
      <c r="B14" s="1262"/>
      <c r="C14" s="1262"/>
      <c r="D14" s="1262"/>
      <c r="E14" s="2077"/>
      <c r="F14" s="2077"/>
      <c r="G14" s="2077"/>
      <c r="H14" s="2077"/>
      <c r="I14" s="2078"/>
      <c r="J14" s="1262"/>
      <c r="K14" s="1262"/>
      <c r="L14" s="1265"/>
      <c r="M14" s="436"/>
      <c r="N14" s="436"/>
      <c r="O14" s="436"/>
      <c r="P14" s="1995"/>
      <c r="Q14" s="1393"/>
      <c r="R14" s="277"/>
      <c r="S14" s="1304"/>
      <c r="T14" s="1305"/>
      <c r="U14" s="1306"/>
      <c r="V14" s="1306"/>
      <c r="W14" s="1306"/>
      <c r="X14" s="1306"/>
      <c r="Y14" s="1306"/>
      <c r="Z14" s="1306"/>
      <c r="AA14" s="1306"/>
      <c r="AB14" s="1306"/>
      <c r="AC14" s="1306"/>
      <c r="AD14" s="1306"/>
      <c r="AE14" s="1306"/>
      <c r="AF14" s="1306"/>
      <c r="AG14" s="1306"/>
      <c r="AH14" s="1306"/>
      <c r="AI14" s="1306"/>
      <c r="AJ14" s="1306"/>
      <c r="AK14" s="1306"/>
      <c r="AL14" s="1306"/>
      <c r="AM14" s="1306"/>
      <c r="AN14" s="1306"/>
      <c r="AO14" s="1306"/>
      <c r="AP14" s="1306"/>
      <c r="AQ14" s="1306"/>
      <c r="AR14" s="1306"/>
      <c r="AS14" s="1306"/>
      <c r="AT14" s="1306"/>
      <c r="AU14" s="1306"/>
      <c r="AV14" s="1306"/>
      <c r="AW14" s="1306"/>
      <c r="AX14" s="1306"/>
      <c r="AY14" s="1306"/>
      <c r="AZ14" s="1306"/>
      <c r="BA14" s="1306"/>
      <c r="BB14" s="1306"/>
      <c r="BC14" s="1307"/>
      <c r="BE14" s="426"/>
      <c r="BF14" s="426" t="str">
        <f t="shared" si="1"/>
        <v/>
      </c>
      <c r="BG14" s="426"/>
      <c r="BH14" s="426"/>
    </row>
    <row r="15" spans="1:60" s="1559" customFormat="1" ht="14.25" hidden="1" customHeight="1">
      <c r="A15" s="1262"/>
      <c r="B15" s="1262"/>
      <c r="C15" s="1262"/>
      <c r="D15" s="1262"/>
      <c r="E15" s="2077"/>
      <c r="F15" s="2077"/>
      <c r="G15" s="2077"/>
      <c r="H15" s="2076"/>
      <c r="I15" s="1262"/>
      <c r="J15" s="1262"/>
      <c r="K15" s="1262"/>
      <c r="L15" s="1265"/>
      <c r="M15" s="1235"/>
      <c r="N15" s="1235"/>
      <c r="O15" s="444"/>
      <c r="P15" s="308"/>
      <c r="Q15" s="1263"/>
      <c r="R15" s="1319"/>
      <c r="S15" s="1304"/>
      <c r="T15" s="1305"/>
      <c r="U15" s="1306"/>
      <c r="V15" s="1306"/>
      <c r="W15" s="1306"/>
      <c r="X15" s="1306"/>
      <c r="Y15" s="1306"/>
      <c r="Z15" s="1306"/>
      <c r="AA15" s="1306"/>
      <c r="AB15" s="1306"/>
      <c r="AC15" s="1306"/>
      <c r="AD15" s="1306"/>
      <c r="AE15" s="1306"/>
      <c r="AF15" s="1306"/>
      <c r="AG15" s="1306"/>
      <c r="AH15" s="1306"/>
      <c r="AI15" s="1306"/>
      <c r="AJ15" s="1306"/>
      <c r="AK15" s="1306"/>
      <c r="AL15" s="1306"/>
      <c r="AM15" s="1306"/>
      <c r="AN15" s="1306"/>
      <c r="AO15" s="1306"/>
      <c r="AP15" s="1306"/>
      <c r="AQ15" s="1306"/>
      <c r="AR15" s="1306"/>
      <c r="AS15" s="1306"/>
      <c r="AT15" s="1306"/>
      <c r="AU15" s="1306"/>
      <c r="AV15" s="1306"/>
      <c r="AW15" s="1306"/>
      <c r="AX15" s="1306"/>
      <c r="AY15" s="1306"/>
      <c r="AZ15" s="1306"/>
      <c r="BA15" s="1306"/>
      <c r="BB15" s="1306"/>
      <c r="BC15" s="1307"/>
      <c r="BE15" s="426"/>
      <c r="BF15" s="426" t="str">
        <f t="shared" si="1"/>
        <v/>
      </c>
      <c r="BG15" s="426"/>
      <c r="BH15" s="426"/>
    </row>
    <row r="16" spans="1:60" s="1559" customFormat="1" ht="14.25" hidden="1" customHeight="1">
      <c r="A16" s="1262"/>
      <c r="B16" s="1262"/>
      <c r="C16" s="1262"/>
      <c r="D16" s="1234"/>
      <c r="E16" s="2077"/>
      <c r="F16" s="2077"/>
      <c r="G16" s="2076"/>
      <c r="H16" s="1234"/>
      <c r="I16" s="1234"/>
      <c r="J16" s="1234"/>
      <c r="K16" s="1234"/>
      <c r="L16" s="1406"/>
      <c r="M16" s="1235"/>
      <c r="N16" s="1235"/>
      <c r="P16" s="1236"/>
      <c r="Q16" s="1237"/>
      <c r="R16" s="1236"/>
      <c r="S16" s="1242"/>
      <c r="T16" s="1245"/>
      <c r="U16" s="1244"/>
      <c r="V16" s="1244"/>
      <c r="W16" s="1244"/>
      <c r="X16" s="1244"/>
      <c r="Y16" s="1244"/>
      <c r="Z16" s="1244"/>
      <c r="AA16" s="1244"/>
      <c r="AB16" s="1244"/>
      <c r="AC16" s="1244"/>
      <c r="AD16" s="1244"/>
      <c r="AE16" s="1244"/>
      <c r="AF16" s="1244"/>
      <c r="AG16" s="1244"/>
      <c r="AH16" s="1244"/>
      <c r="AI16" s="1244"/>
      <c r="AJ16" s="1244"/>
      <c r="AK16" s="1244"/>
      <c r="AL16" s="1244"/>
      <c r="AM16" s="1244"/>
      <c r="AN16" s="1244"/>
      <c r="AO16" s="1244"/>
      <c r="AP16" s="1244"/>
      <c r="AQ16" s="1244"/>
      <c r="AR16" s="1244"/>
      <c r="AS16" s="1244"/>
      <c r="AT16" s="1244"/>
      <c r="AU16" s="1244"/>
      <c r="AV16" s="1244"/>
      <c r="AW16" s="1244"/>
      <c r="AX16" s="1244"/>
      <c r="AY16" s="1244"/>
      <c r="AZ16" s="1244"/>
      <c r="BA16" s="1244"/>
      <c r="BB16" s="1244"/>
      <c r="BC16" s="1244"/>
      <c r="BE16" s="702"/>
      <c r="BF16" s="702" t="str">
        <f t="shared" si="1"/>
        <v/>
      </c>
      <c r="BG16" s="702"/>
      <c r="BH16" s="702"/>
    </row>
    <row r="17" spans="1:60" s="1559" customFormat="1" ht="14.25" hidden="1" customHeight="1">
      <c r="A17" s="1262"/>
      <c r="B17" s="1262"/>
      <c r="C17" s="1234"/>
      <c r="D17" s="1234"/>
      <c r="E17" s="2077"/>
      <c r="F17" s="2076"/>
      <c r="G17" s="1234"/>
      <c r="H17" s="1234"/>
      <c r="I17" s="1234"/>
      <c r="J17" s="1234"/>
      <c r="K17" s="1234"/>
      <c r="L17" s="1406"/>
      <c r="M17" s="1241"/>
      <c r="N17" s="1241"/>
      <c r="P17" s="1236"/>
      <c r="Q17" s="1237"/>
      <c r="R17" s="1236"/>
      <c r="S17" s="1242"/>
      <c r="T17" s="1245" t="s">
        <v>434</v>
      </c>
      <c r="U17" s="1244"/>
      <c r="V17" s="1244"/>
      <c r="W17" s="1244"/>
      <c r="X17" s="1244"/>
      <c r="Y17" s="1244"/>
      <c r="Z17" s="1244"/>
      <c r="AA17" s="1244"/>
      <c r="AB17" s="1244"/>
      <c r="AC17" s="1244"/>
      <c r="AD17" s="1244"/>
      <c r="AE17" s="1244"/>
      <c r="AF17" s="1244"/>
      <c r="AG17" s="1244"/>
      <c r="AH17" s="1244"/>
      <c r="AI17" s="1244"/>
      <c r="AJ17" s="1244"/>
      <c r="AK17" s="1244"/>
      <c r="AL17" s="1244"/>
      <c r="AM17" s="1244"/>
      <c r="AN17" s="1244"/>
      <c r="AO17" s="1244"/>
      <c r="AP17" s="1244"/>
      <c r="AQ17" s="1244"/>
      <c r="AR17" s="1244"/>
      <c r="AS17" s="1244"/>
      <c r="AT17" s="1244"/>
      <c r="AU17" s="1244"/>
      <c r="AV17" s="1244"/>
      <c r="AW17" s="1244"/>
      <c r="AX17" s="1244"/>
      <c r="AY17" s="1244"/>
      <c r="AZ17" s="1244"/>
      <c r="BA17" s="1244"/>
      <c r="BB17" s="1244"/>
      <c r="BC17" s="1244"/>
      <c r="BE17" s="702"/>
      <c r="BF17" s="702" t="str">
        <f t="shared" si="1"/>
        <v>Добавить централизованную систему для дифференциации</v>
      </c>
      <c r="BG17" s="702"/>
      <c r="BH17" s="702"/>
    </row>
    <row r="18" spans="1:60" s="1559" customFormat="1" ht="14.25" hidden="1" customHeight="1">
      <c r="A18" s="1262"/>
      <c r="B18" s="1262"/>
      <c r="C18" s="1262"/>
      <c r="D18" s="1262"/>
      <c r="E18" s="2076"/>
      <c r="F18" s="1262"/>
      <c r="G18" s="1262"/>
      <c r="H18" s="1262"/>
      <c r="I18" s="1262"/>
      <c r="J18" s="1262"/>
      <c r="K18" s="1262"/>
      <c r="L18" s="1265"/>
      <c r="M18" s="1241"/>
      <c r="N18" s="1241"/>
      <c r="O18" s="444"/>
      <c r="P18" s="308"/>
      <c r="Q18" s="1263"/>
      <c r="R18" s="308"/>
      <c r="S18" s="1242"/>
      <c r="T18" s="1245" t="s">
        <v>435</v>
      </c>
      <c r="U18" s="1244"/>
      <c r="V18" s="1244"/>
      <c r="W18" s="1244"/>
      <c r="X18" s="1244"/>
      <c r="Y18" s="1244"/>
      <c r="Z18" s="1244"/>
      <c r="AA18" s="1244"/>
      <c r="AB18" s="1244"/>
      <c r="AC18" s="1244"/>
      <c r="AD18" s="1244"/>
      <c r="AE18" s="1244"/>
      <c r="AF18" s="1244"/>
      <c r="AG18" s="1244"/>
      <c r="AH18" s="1244"/>
      <c r="AI18" s="1244"/>
      <c r="AJ18" s="1244"/>
      <c r="AK18" s="1244"/>
      <c r="AL18" s="1244"/>
      <c r="AM18" s="1244"/>
      <c r="AN18" s="1244"/>
      <c r="AO18" s="1244"/>
      <c r="AP18" s="1244"/>
      <c r="AQ18" s="1244"/>
      <c r="AR18" s="1244"/>
      <c r="AS18" s="1244"/>
      <c r="AT18" s="1244"/>
      <c r="AU18" s="1244"/>
      <c r="AV18" s="1244"/>
      <c r="AW18" s="1244"/>
      <c r="AX18" s="1244"/>
      <c r="AY18" s="1244"/>
      <c r="AZ18" s="1244"/>
      <c r="BA18" s="1244"/>
      <c r="BB18" s="1244"/>
      <c r="BC18" s="1244"/>
      <c r="BE18" s="426"/>
      <c r="BF18" s="426" t="str">
        <f t="shared" si="1"/>
        <v>Добавить территорию для дифференциации</v>
      </c>
      <c r="BG18" s="426"/>
      <c r="BH18" s="426"/>
    </row>
    <row r="19" spans="1:60" ht="14.25" hidden="1" customHeight="1">
      <c r="AC19" s="249"/>
      <c r="BA19" s="249"/>
    </row>
    <row r="20" spans="1:60" ht="14.25" hidden="1" customHeight="1">
      <c r="AD20" s="1244" t="s">
        <v>57</v>
      </c>
      <c r="AE20" s="1413"/>
      <c r="AF20" s="472">
        <v>1</v>
      </c>
      <c r="AG20" s="1414"/>
      <c r="AH20" s="1244" t="s">
        <v>57</v>
      </c>
      <c r="AI20" s="1413"/>
      <c r="AJ20" s="472">
        <v>1</v>
      </c>
      <c r="AK20" s="1414"/>
      <c r="AL20" s="1244" t="s">
        <v>57</v>
      </c>
      <c r="AM20" s="1415"/>
      <c r="AN20" s="472">
        <v>1</v>
      </c>
      <c r="AO20" s="1416"/>
      <c r="AP20" s="1244" t="s">
        <v>57</v>
      </c>
      <c r="AQ20" s="1415"/>
      <c r="AR20" s="472">
        <v>1</v>
      </c>
      <c r="AS20" s="1416"/>
      <c r="AT20" s="246"/>
      <c r="AU20" s="313"/>
      <c r="AV20" s="246"/>
      <c r="AW20" s="313"/>
      <c r="AX20" s="1652"/>
      <c r="AY20" s="1397" t="s">
        <v>59</v>
      </c>
      <c r="AZ20" s="1652"/>
      <c r="BA20" s="1397" t="s">
        <v>59</v>
      </c>
    </row>
    <row r="21" spans="1:60" ht="14.25" hidden="1" customHeight="1">
      <c r="BD21" s="422"/>
      <c r="BE21" s="422"/>
      <c r="BF21" s="422"/>
      <c r="BG21" s="422"/>
      <c r="BH21" s="422"/>
    </row>
    <row r="22" spans="1:60" ht="14.25" hidden="1" customHeight="1">
      <c r="O22" s="1285" t="s">
        <v>477</v>
      </c>
      <c r="Z22" s="1264"/>
      <c r="AB22" s="1264"/>
      <c r="AC22" s="249"/>
      <c r="AX22" s="1264"/>
      <c r="AZ22" s="1264"/>
      <c r="BA22" s="249"/>
      <c r="BD22" s="422"/>
      <c r="BE22" s="422"/>
      <c r="BF22" s="422"/>
      <c r="BG22" s="422"/>
      <c r="BH22" s="422"/>
    </row>
    <row r="23" spans="1:60" ht="14.25" hidden="1" customHeight="1">
      <c r="AC23" s="249"/>
      <c r="BA23" s="249"/>
      <c r="BD23" s="422"/>
      <c r="BE23" s="422"/>
      <c r="BF23" s="422"/>
      <c r="BG23" s="422"/>
      <c r="BH23" s="422"/>
    </row>
    <row r="24" spans="1:60" s="1421" customFormat="1" ht="14.25" hidden="1" customHeight="1">
      <c r="M24" s="1420"/>
      <c r="N24" s="1420"/>
      <c r="O24" s="1421" t="s">
        <v>478</v>
      </c>
      <c r="P24" s="1420"/>
      <c r="Q24" s="1422"/>
      <c r="R24" s="1422"/>
      <c r="AA24" s="1419" t="s">
        <v>480</v>
      </c>
      <c r="AC24" s="1419" t="s">
        <v>481</v>
      </c>
      <c r="AD24" s="1419" t="s">
        <v>541</v>
      </c>
      <c r="AH24" s="1419" t="s">
        <v>541</v>
      </c>
      <c r="AK24" s="1419" t="s">
        <v>1701</v>
      </c>
      <c r="AL24" s="1419" t="s">
        <v>541</v>
      </c>
      <c r="AP24" s="1419" t="s">
        <v>541</v>
      </c>
      <c r="AY24" s="1419" t="s">
        <v>480</v>
      </c>
      <c r="BA24" s="1419" t="s">
        <v>481</v>
      </c>
      <c r="BD24" s="1423"/>
      <c r="BE24" s="1423"/>
      <c r="BF24" s="1423"/>
      <c r="BG24" s="1423"/>
      <c r="BH24" s="1423"/>
    </row>
    <row r="25" spans="1:60" ht="14.25" hidden="1" customHeight="1">
      <c r="O25" s="1282"/>
      <c r="BD25" s="422"/>
      <c r="BE25" s="422"/>
      <c r="BF25" s="422"/>
      <c r="BG25" s="422"/>
      <c r="BH25" s="422"/>
    </row>
    <row r="26" spans="1:60" ht="14.25" hidden="1" customHeight="1">
      <c r="O26" s="1282"/>
      <c r="BD26" s="422"/>
      <c r="BE26" s="422"/>
      <c r="BF26" s="422"/>
      <c r="BG26" s="422"/>
      <c r="BH26" s="422"/>
    </row>
    <row r="27" spans="1:60" ht="14.25" customHeight="1">
      <c r="Q27" s="206"/>
      <c r="R27" s="300"/>
      <c r="S27" s="1197"/>
      <c r="T27" s="286"/>
      <c r="U27" s="286"/>
      <c r="V27" s="435"/>
      <c r="W27" s="435"/>
      <c r="X27" s="435"/>
      <c r="Y27" s="435"/>
      <c r="Z27" s="435"/>
      <c r="AA27" s="435"/>
      <c r="AB27" s="435"/>
      <c r="AC27" s="435"/>
      <c r="AD27" s="435"/>
      <c r="AE27" s="435"/>
      <c r="AF27" s="435"/>
      <c r="AG27" s="435"/>
      <c r="AH27" s="435"/>
      <c r="AI27" s="435"/>
      <c r="AJ27" s="435"/>
      <c r="AK27" s="435"/>
      <c r="AL27" s="435"/>
      <c r="AM27" s="435"/>
      <c r="AN27" s="435"/>
      <c r="AO27" s="435"/>
      <c r="AP27" s="435"/>
      <c r="AQ27" s="435"/>
      <c r="AR27" s="435"/>
      <c r="AS27" s="435"/>
      <c r="AT27" s="435"/>
      <c r="AU27" s="435"/>
      <c r="AV27" s="435"/>
      <c r="AW27" s="435"/>
      <c r="AX27" s="435"/>
      <c r="AY27" s="435"/>
      <c r="AZ27" s="435"/>
      <c r="BA27" s="435"/>
    </row>
    <row r="28" spans="1:60" ht="33.75" customHeight="1">
      <c r="Q28" s="206"/>
      <c r="R28" s="300"/>
      <c r="S28" s="2101" t="str">
        <f>IF(TEMPLATE_GROUP="P",PT_P_FORM_VOTV_5_NAME_FORM,PT_R_FORM_VOTV_17_NAME_FORM)</f>
        <v>Форма 17. Информация о предложении расчетной величины тарифов на подключение к централизованной системе водоотведения &lt;1&gt;</v>
      </c>
      <c r="T28" s="2101"/>
      <c r="U28" s="2101"/>
      <c r="V28" s="2101"/>
      <c r="W28" s="2101"/>
      <c r="X28" s="2101"/>
      <c r="Y28" s="2101"/>
      <c r="Z28" s="2101"/>
      <c r="AA28" s="2101"/>
      <c r="AB28" s="2101"/>
      <c r="AC28" s="2101"/>
      <c r="AD28" s="2101"/>
      <c r="AE28" s="2101"/>
      <c r="AF28" s="2101"/>
      <c r="AG28" s="2101"/>
      <c r="AH28" s="2101"/>
      <c r="AI28" s="2101"/>
      <c r="AJ28" s="2101"/>
      <c r="AK28" s="2101"/>
      <c r="AL28" s="2101"/>
      <c r="AM28" s="2101"/>
      <c r="AN28" s="2101"/>
      <c r="AO28" s="2101"/>
      <c r="AP28" s="2101"/>
      <c r="AQ28" s="2101"/>
      <c r="AR28" s="2101"/>
      <c r="AS28" s="2101"/>
      <c r="AT28" s="2101"/>
      <c r="AU28" s="2101"/>
      <c r="AV28" s="2101"/>
      <c r="AW28" s="2101"/>
      <c r="AX28" s="2101"/>
      <c r="AY28" s="2101"/>
      <c r="AZ28" s="2101"/>
      <c r="BA28" s="1154"/>
    </row>
    <row r="29" spans="1:60" ht="14.25" customHeight="1">
      <c r="Q29" s="206"/>
      <c r="R29" s="300"/>
      <c r="S29" s="1961" t="str">
        <f>IF(org=0,"Не определено",org)</f>
        <v>АО СЗ "КМАпроектжилстрой"</v>
      </c>
      <c r="T29" s="1961"/>
      <c r="U29" s="1961"/>
      <c r="V29" s="1961"/>
      <c r="W29" s="1961"/>
      <c r="X29" s="1961"/>
      <c r="Y29" s="1961"/>
      <c r="Z29" s="1961"/>
      <c r="AA29" s="1961"/>
      <c r="AB29" s="1961"/>
      <c r="AC29" s="1961"/>
      <c r="AD29" s="1961"/>
      <c r="AE29" s="1961"/>
      <c r="AF29" s="1961"/>
      <c r="AG29" s="1961"/>
      <c r="AH29" s="1961"/>
      <c r="AI29" s="1961"/>
      <c r="AJ29" s="1961"/>
      <c r="AK29" s="1961"/>
      <c r="AL29" s="1961"/>
      <c r="AM29" s="1961"/>
      <c r="AN29" s="1961"/>
      <c r="AO29" s="1961"/>
      <c r="AP29" s="1961"/>
      <c r="AQ29" s="1961"/>
      <c r="AR29" s="1961"/>
      <c r="AS29" s="1961"/>
      <c r="AT29" s="1961"/>
      <c r="AU29" s="1961"/>
      <c r="AV29" s="1961"/>
      <c r="AW29" s="1961"/>
      <c r="AX29" s="1961"/>
      <c r="AY29" s="1961"/>
      <c r="AZ29" s="1961"/>
      <c r="BA29" s="1154"/>
    </row>
    <row r="30" spans="1:60" ht="14.25" hidden="1" customHeight="1">
      <c r="Q30" s="206"/>
      <c r="R30" s="300"/>
      <c r="S30" s="1197"/>
      <c r="T30" s="286"/>
      <c r="U30" s="286"/>
      <c r="V30" s="242"/>
      <c r="W30" s="242"/>
      <c r="X30" s="242"/>
      <c r="Y30" s="242"/>
      <c r="Z30" s="242"/>
      <c r="AA30" s="242"/>
      <c r="AB30" s="242"/>
      <c r="AC30" s="242"/>
      <c r="AD30" s="242"/>
      <c r="AE30" s="242"/>
      <c r="AF30" s="242"/>
      <c r="AG30" s="242"/>
      <c r="AH30" s="242"/>
      <c r="AI30" s="242"/>
      <c r="AJ30" s="242"/>
      <c r="AK30" s="242"/>
      <c r="AL30" s="242"/>
      <c r="AM30" s="242"/>
      <c r="AN30" s="242"/>
      <c r="AO30" s="242"/>
      <c r="AP30" s="242"/>
      <c r="AQ30" s="242"/>
      <c r="AR30" s="242"/>
      <c r="AS30" s="242"/>
      <c r="AT30" s="242"/>
      <c r="AU30" s="242"/>
      <c r="AV30" s="242"/>
      <c r="AW30" s="242"/>
      <c r="AX30" s="242"/>
      <c r="AY30" s="242"/>
      <c r="AZ30" s="242"/>
      <c r="BA30" s="242"/>
      <c r="BB30" s="435"/>
    </row>
    <row r="31" spans="1:60" s="1773" customFormat="1" ht="25.5" hidden="1" customHeight="1">
      <c r="A31" s="1286"/>
      <c r="B31" s="1286"/>
      <c r="C31" s="1286"/>
      <c r="D31" s="1286"/>
      <c r="E31" s="1286"/>
      <c r="F31" s="1286"/>
      <c r="G31" s="1286"/>
      <c r="H31" s="1286"/>
      <c r="I31" s="1286"/>
      <c r="J31" s="1286"/>
      <c r="K31" s="1286"/>
      <c r="L31" s="1287"/>
      <c r="M31" s="1286"/>
      <c r="N31" s="1286"/>
      <c r="O31" s="1286"/>
      <c r="P31" s="1286"/>
      <c r="Q31" s="1286"/>
      <c r="S31" s="2067" t="s">
        <v>40</v>
      </c>
      <c r="T31" s="2067"/>
      <c r="U31" s="1290"/>
      <c r="V31" s="2069"/>
      <c r="W31" s="2069"/>
      <c r="X31" s="2069"/>
      <c r="Y31" s="2069"/>
      <c r="Z31" s="2069"/>
      <c r="AA31" s="2069"/>
      <c r="AB31" s="2069"/>
      <c r="AC31" s="248"/>
      <c r="AD31" s="2069" t="str">
        <f>IF(TITLE_NAME_OR_PR_CHANGE="",IF(TITLE_NAME_OR_PR="","",TITLE_NAME_OR_PR),TITLE_NAME_OR_PR_CHANGE)</f>
        <v/>
      </c>
      <c r="AE31" s="2069"/>
      <c r="AF31" s="2069"/>
      <c r="AG31" s="2069"/>
      <c r="AH31" s="2069"/>
      <c r="AI31" s="2069"/>
      <c r="AJ31" s="2069"/>
      <c r="AK31" s="2069"/>
      <c r="AL31" s="2069"/>
      <c r="AM31" s="2069"/>
      <c r="AN31" s="2069"/>
      <c r="AO31" s="2069"/>
      <c r="AP31" s="2069"/>
      <c r="AQ31" s="2069"/>
      <c r="AR31" s="2069"/>
      <c r="AS31" s="2069"/>
      <c r="AT31" s="2069"/>
      <c r="AU31" s="2069"/>
      <c r="AV31" s="2069"/>
      <c r="AW31" s="2069"/>
      <c r="AX31" s="2069"/>
      <c r="AY31" s="2069"/>
      <c r="AZ31" s="2069"/>
      <c r="BA31" s="248"/>
      <c r="BB31" s="248"/>
      <c r="BC31" s="196"/>
      <c r="BD31" s="292"/>
      <c r="BE31" s="292"/>
      <c r="BF31" s="292"/>
      <c r="BG31" s="292"/>
      <c r="BH31" s="292"/>
    </row>
    <row r="32" spans="1:60" s="1773" customFormat="1" ht="18.75" hidden="1" customHeight="1">
      <c r="A32" s="1286"/>
      <c r="B32" s="1286"/>
      <c r="C32" s="1286"/>
      <c r="D32" s="1286"/>
      <c r="E32" s="1286"/>
      <c r="F32" s="1286"/>
      <c r="G32" s="1286"/>
      <c r="H32" s="1286"/>
      <c r="I32" s="1286"/>
      <c r="J32" s="1286"/>
      <c r="K32" s="1286"/>
      <c r="L32" s="1287"/>
      <c r="M32" s="1286"/>
      <c r="N32" s="1286"/>
      <c r="O32" s="1286"/>
      <c r="P32" s="1286"/>
      <c r="Q32" s="1286"/>
      <c r="S32" s="2067" t="s">
        <v>483</v>
      </c>
      <c r="T32" s="2067"/>
      <c r="U32" s="1290"/>
      <c r="V32" s="2068"/>
      <c r="W32" s="2068"/>
      <c r="X32" s="2068"/>
      <c r="Y32" s="2068"/>
      <c r="Z32" s="2068"/>
      <c r="AA32" s="2068"/>
      <c r="AB32" s="2068"/>
      <c r="AC32" s="248"/>
      <c r="AD32" s="2068" t="str">
        <f>IF(TITLE_DATE_CHANGE_PERIOD="",IF(TITLE_DATE_PR="","",TITLE_DATE_PR),TITLE_DATE_CHANGE_PERIOD)</f>
        <v/>
      </c>
      <c r="AE32" s="2068"/>
      <c r="AF32" s="2068"/>
      <c r="AG32" s="2068"/>
      <c r="AH32" s="2068"/>
      <c r="AI32" s="2068"/>
      <c r="AJ32" s="2068"/>
      <c r="AK32" s="2068"/>
      <c r="AL32" s="2068"/>
      <c r="AM32" s="2068"/>
      <c r="AN32" s="2068"/>
      <c r="AO32" s="2068"/>
      <c r="AP32" s="2068"/>
      <c r="AQ32" s="2068"/>
      <c r="AR32" s="2068"/>
      <c r="AS32" s="2068"/>
      <c r="AT32" s="2068"/>
      <c r="AU32" s="2068"/>
      <c r="AV32" s="2068"/>
      <c r="AW32" s="2068"/>
      <c r="AX32" s="2068"/>
      <c r="AY32" s="2068"/>
      <c r="AZ32" s="2068"/>
      <c r="BA32" s="248"/>
      <c r="BB32" s="248"/>
      <c r="BC32" s="196"/>
      <c r="BD32" s="292"/>
      <c r="BE32" s="292"/>
      <c r="BF32" s="292"/>
      <c r="BG32" s="292"/>
      <c r="BH32" s="292"/>
    </row>
    <row r="33" spans="1:60" s="1773" customFormat="1" ht="18.75" hidden="1" customHeight="1">
      <c r="A33" s="1286"/>
      <c r="B33" s="1286"/>
      <c r="C33" s="1286"/>
      <c r="D33" s="1286"/>
      <c r="E33" s="1286"/>
      <c r="F33" s="1286"/>
      <c r="G33" s="1286"/>
      <c r="H33" s="1286"/>
      <c r="I33" s="1286"/>
      <c r="J33" s="1286"/>
      <c r="K33" s="1286"/>
      <c r="L33" s="1287"/>
      <c r="M33" s="1286"/>
      <c r="N33" s="1286"/>
      <c r="O33" s="1286"/>
      <c r="P33" s="1286"/>
      <c r="Q33" s="1286"/>
      <c r="S33" s="2067" t="s">
        <v>484</v>
      </c>
      <c r="T33" s="2067"/>
      <c r="U33" s="1290"/>
      <c r="V33" s="2069"/>
      <c r="W33" s="2069"/>
      <c r="X33" s="2069"/>
      <c r="Y33" s="2069"/>
      <c r="Z33" s="2069"/>
      <c r="AA33" s="2069"/>
      <c r="AB33" s="2069"/>
      <c r="AC33" s="248"/>
      <c r="AD33" s="2069" t="str">
        <f>IF(TITLE_NUMBER_PR_CHANGE="",IF(TITLE_NUMBER_PR="","",TITLE_NUMBER_PR),TITLE_NUMBER_PR_CHANGE)</f>
        <v/>
      </c>
      <c r="AE33" s="2069"/>
      <c r="AF33" s="2069"/>
      <c r="AG33" s="2069"/>
      <c r="AH33" s="2069"/>
      <c r="AI33" s="2069"/>
      <c r="AJ33" s="2069"/>
      <c r="AK33" s="2069"/>
      <c r="AL33" s="2069"/>
      <c r="AM33" s="2069"/>
      <c r="AN33" s="2069"/>
      <c r="AO33" s="2069"/>
      <c r="AP33" s="2069"/>
      <c r="AQ33" s="2069"/>
      <c r="AR33" s="2069"/>
      <c r="AS33" s="2069"/>
      <c r="AT33" s="2069"/>
      <c r="AU33" s="2069"/>
      <c r="AV33" s="2069"/>
      <c r="AW33" s="2069"/>
      <c r="AX33" s="2069"/>
      <c r="AY33" s="2069"/>
      <c r="AZ33" s="2069"/>
      <c r="BA33" s="248"/>
      <c r="BB33" s="248"/>
      <c r="BC33" s="196"/>
      <c r="BD33" s="292"/>
      <c r="BE33" s="292"/>
      <c r="BF33" s="292"/>
      <c r="BG33" s="292"/>
      <c r="BH33" s="292"/>
    </row>
    <row r="34" spans="1:60" s="1773" customFormat="1" ht="18.75" hidden="1" customHeight="1">
      <c r="A34" s="1286"/>
      <c r="B34" s="1286"/>
      <c r="C34" s="1286"/>
      <c r="D34" s="1286"/>
      <c r="E34" s="1286"/>
      <c r="F34" s="1286"/>
      <c r="G34" s="1286"/>
      <c r="H34" s="1286"/>
      <c r="I34" s="1286"/>
      <c r="J34" s="1286"/>
      <c r="K34" s="1286"/>
      <c r="L34" s="1287"/>
      <c r="M34" s="1286"/>
      <c r="N34" s="1286"/>
      <c r="O34" s="1286"/>
      <c r="P34" s="1286"/>
      <c r="Q34" s="1286"/>
      <c r="S34" s="2067" t="s">
        <v>41</v>
      </c>
      <c r="T34" s="2067"/>
      <c r="U34" s="1290"/>
      <c r="V34" s="2069"/>
      <c r="W34" s="2069"/>
      <c r="X34" s="2069"/>
      <c r="Y34" s="2069"/>
      <c r="Z34" s="2069"/>
      <c r="AA34" s="2069"/>
      <c r="AB34" s="2069"/>
      <c r="AC34" s="248"/>
      <c r="AD34" s="2069" t="str">
        <f>IF(TITLE_IST_PUB_CHANGE="",IF(TITLE_IST_PUB="","",TITLE_IST_PUB),TITLE_IST_PUB_CHANGE)</f>
        <v/>
      </c>
      <c r="AE34" s="2069"/>
      <c r="AF34" s="2069"/>
      <c r="AG34" s="2069"/>
      <c r="AH34" s="2069"/>
      <c r="AI34" s="2069"/>
      <c r="AJ34" s="2069"/>
      <c r="AK34" s="2069"/>
      <c r="AL34" s="2069"/>
      <c r="AM34" s="2069"/>
      <c r="AN34" s="2069"/>
      <c r="AO34" s="2069"/>
      <c r="AP34" s="2069"/>
      <c r="AQ34" s="2069"/>
      <c r="AR34" s="2069"/>
      <c r="AS34" s="2069"/>
      <c r="AT34" s="2069"/>
      <c r="AU34" s="2069"/>
      <c r="AV34" s="2069"/>
      <c r="AW34" s="2069"/>
      <c r="AX34" s="2069"/>
      <c r="AY34" s="2069"/>
      <c r="AZ34" s="2069"/>
      <c r="BA34" s="248"/>
      <c r="BB34" s="248"/>
      <c r="BC34" s="196"/>
      <c r="BD34" s="292"/>
      <c r="BE34" s="292"/>
      <c r="BF34" s="292"/>
      <c r="BG34" s="292"/>
      <c r="BH34" s="292"/>
    </row>
    <row r="35" spans="1:60" ht="14.25" hidden="1" customHeight="1">
      <c r="Q35" s="206"/>
      <c r="R35" s="300"/>
      <c r="S35" s="1197"/>
      <c r="T35" s="286"/>
      <c r="U35" s="286"/>
      <c r="V35" s="242"/>
      <c r="W35" s="242"/>
      <c r="X35" s="242"/>
      <c r="Y35" s="242"/>
      <c r="Z35" s="242"/>
      <c r="AA35" s="242"/>
      <c r="AB35" s="242"/>
      <c r="AC35" s="242"/>
      <c r="AD35" s="242"/>
      <c r="AE35" s="242"/>
      <c r="AF35" s="242"/>
      <c r="AG35" s="242"/>
      <c r="AH35" s="242"/>
      <c r="AI35" s="242"/>
      <c r="AJ35" s="242"/>
      <c r="AK35" s="242"/>
      <c r="AL35" s="242"/>
      <c r="AM35" s="242"/>
      <c r="AN35" s="242"/>
      <c r="AO35" s="242"/>
      <c r="AP35" s="242"/>
      <c r="AQ35" s="242"/>
      <c r="AR35" s="242"/>
      <c r="AS35" s="242"/>
      <c r="AT35" s="242"/>
      <c r="AU35" s="242"/>
      <c r="AV35" s="242"/>
      <c r="AW35" s="242"/>
      <c r="AX35" s="242"/>
      <c r="AY35" s="242"/>
      <c r="AZ35" s="242"/>
      <c r="BA35" s="242"/>
      <c r="BB35" s="435"/>
    </row>
    <row r="36" spans="1:60" s="1773" customFormat="1" ht="18.75" hidden="1" customHeight="1">
      <c r="A36" s="1286"/>
      <c r="B36" s="1286"/>
      <c r="C36" s="1286"/>
      <c r="D36" s="1286"/>
      <c r="E36" s="1286"/>
      <c r="F36" s="1286"/>
      <c r="G36" s="1286"/>
      <c r="H36" s="1286"/>
      <c r="I36" s="1286"/>
      <c r="J36" s="1286"/>
      <c r="K36" s="1286"/>
      <c r="L36" s="1287"/>
      <c r="M36" s="1286"/>
      <c r="N36" s="1286"/>
      <c r="O36" s="1286"/>
      <c r="P36" s="1286"/>
      <c r="Q36" s="1286"/>
      <c r="S36" s="2067" t="s">
        <v>483</v>
      </c>
      <c r="T36" s="2067"/>
      <c r="U36" s="1290"/>
      <c r="V36" s="2068"/>
      <c r="W36" s="2068"/>
      <c r="X36" s="2068"/>
      <c r="Y36" s="2068"/>
      <c r="Z36" s="2068"/>
      <c r="AA36" s="2068"/>
      <c r="AB36" s="2068"/>
      <c r="AC36" s="248"/>
      <c r="AD36" s="2068" t="str">
        <f>IF(TITLE_DATE_CHANGE_PERIOD="",IF(TITLE_DATE_PR="","",TITLE_DATE_PR),TITLE_DATE_CHANGE_PERIOD)</f>
        <v/>
      </c>
      <c r="AE36" s="2068"/>
      <c r="AF36" s="2068"/>
      <c r="AG36" s="2068"/>
      <c r="AH36" s="2068"/>
      <c r="AI36" s="2068"/>
      <c r="AJ36" s="2068"/>
      <c r="AK36" s="2068"/>
      <c r="AL36" s="2068"/>
      <c r="AM36" s="2068"/>
      <c r="AN36" s="2068"/>
      <c r="AO36" s="2068"/>
      <c r="AP36" s="2068"/>
      <c r="AQ36" s="2068"/>
      <c r="AR36" s="2068"/>
      <c r="AS36" s="2068"/>
      <c r="AT36" s="2068"/>
      <c r="AU36" s="2068"/>
      <c r="AV36" s="2068"/>
      <c r="AW36" s="2068"/>
      <c r="AX36" s="2068"/>
      <c r="AY36" s="2068"/>
      <c r="AZ36" s="2068"/>
      <c r="BA36" s="248"/>
      <c r="BB36" s="248"/>
      <c r="BC36" s="196"/>
      <c r="BD36" s="292"/>
      <c r="BE36" s="292"/>
      <c r="BF36" s="292"/>
      <c r="BG36" s="292"/>
      <c r="BH36" s="292"/>
    </row>
    <row r="37" spans="1:60" s="1773" customFormat="1" ht="18.75" hidden="1" customHeight="1">
      <c r="A37" s="1286"/>
      <c r="B37" s="1286"/>
      <c r="C37" s="1286"/>
      <c r="D37" s="1286"/>
      <c r="E37" s="1286"/>
      <c r="F37" s="1286"/>
      <c r="G37" s="1286"/>
      <c r="H37" s="1286"/>
      <c r="I37" s="1286"/>
      <c r="J37" s="1286"/>
      <c r="K37" s="1286"/>
      <c r="L37" s="1287"/>
      <c r="M37" s="1286"/>
      <c r="N37" s="1286"/>
      <c r="O37" s="1286"/>
      <c r="P37" s="1286"/>
      <c r="Q37" s="1286"/>
      <c r="S37" s="2067" t="s">
        <v>484</v>
      </c>
      <c r="T37" s="2067"/>
      <c r="U37" s="1290"/>
      <c r="V37" s="2069"/>
      <c r="W37" s="2069"/>
      <c r="X37" s="2069"/>
      <c r="Y37" s="2069"/>
      <c r="Z37" s="2069"/>
      <c r="AA37" s="2069"/>
      <c r="AB37" s="2069"/>
      <c r="AC37" s="248"/>
      <c r="AD37" s="2069" t="str">
        <f>IF(TITLE_NUMBER_PR_CHANGE="",IF(TITLE_NUMBER_PR="","",TITLE_NUMBER_PR),TITLE_NUMBER_PR_CHANGE)</f>
        <v/>
      </c>
      <c r="AE37" s="2069"/>
      <c r="AF37" s="2069"/>
      <c r="AG37" s="2069"/>
      <c r="AH37" s="2069"/>
      <c r="AI37" s="2069"/>
      <c r="AJ37" s="2069"/>
      <c r="AK37" s="2069"/>
      <c r="AL37" s="2069"/>
      <c r="AM37" s="2069"/>
      <c r="AN37" s="2069"/>
      <c r="AO37" s="2069"/>
      <c r="AP37" s="2069"/>
      <c r="AQ37" s="2069"/>
      <c r="AR37" s="2069"/>
      <c r="AS37" s="2069"/>
      <c r="AT37" s="2069"/>
      <c r="AU37" s="2069"/>
      <c r="AV37" s="2069"/>
      <c r="AW37" s="2069"/>
      <c r="AX37" s="2069"/>
      <c r="AY37" s="2069"/>
      <c r="AZ37" s="2069"/>
      <c r="BA37" s="248"/>
      <c r="BB37" s="248"/>
      <c r="BC37" s="196"/>
      <c r="BD37" s="292"/>
      <c r="BE37" s="292"/>
      <c r="BF37" s="292"/>
      <c r="BG37" s="292"/>
      <c r="BH37" s="292"/>
    </row>
    <row r="38" spans="1:60" s="1773" customFormat="1" ht="0" hidden="1" customHeight="1">
      <c r="A38" s="1286"/>
      <c r="B38" s="1286"/>
      <c r="C38" s="1286"/>
      <c r="D38" s="1286"/>
      <c r="E38" s="1286"/>
      <c r="F38" s="1286"/>
      <c r="G38" s="1286"/>
      <c r="H38" s="1286"/>
      <c r="I38" s="1286"/>
      <c r="J38" s="1286"/>
      <c r="K38" s="1286"/>
      <c r="L38" s="1287"/>
      <c r="M38" s="1286"/>
      <c r="N38" s="1286"/>
      <c r="O38" s="1286"/>
      <c r="P38" s="1286"/>
      <c r="Q38" s="1286"/>
      <c r="S38" s="244"/>
      <c r="T38" s="244"/>
      <c r="U38" s="1400"/>
      <c r="V38" s="248"/>
      <c r="W38" s="248"/>
      <c r="X38" s="248"/>
      <c r="Y38" s="248"/>
      <c r="Z38" s="248"/>
      <c r="AA38" s="248"/>
      <c r="AB38" s="248"/>
      <c r="AC38" s="194" t="s">
        <v>487</v>
      </c>
      <c r="AD38" s="248"/>
      <c r="AE38" s="248"/>
      <c r="AF38" s="248"/>
      <c r="AG38" s="248"/>
      <c r="AH38" s="248"/>
      <c r="AI38" s="248"/>
      <c r="AJ38" s="248"/>
      <c r="AK38" s="248"/>
      <c r="AL38" s="248"/>
      <c r="AM38" s="248"/>
      <c r="AN38" s="248"/>
      <c r="AO38" s="248"/>
      <c r="AP38" s="248"/>
      <c r="AQ38" s="248"/>
      <c r="AR38" s="248"/>
      <c r="AS38" s="248"/>
      <c r="AT38" s="248"/>
      <c r="AU38" s="248"/>
      <c r="AV38" s="248"/>
      <c r="AW38" s="248"/>
      <c r="AX38" s="248"/>
      <c r="AY38" s="248"/>
      <c r="AZ38" s="248"/>
      <c r="BA38" s="194" t="s">
        <v>487</v>
      </c>
      <c r="BD38" s="292"/>
      <c r="BE38" s="292"/>
      <c r="BF38" s="292"/>
      <c r="BG38" s="292"/>
      <c r="BH38" s="292"/>
    </row>
    <row r="39" spans="1:60" ht="14.25" customHeight="1">
      <c r="Q39" s="206"/>
      <c r="R39" s="300"/>
      <c r="S39" s="1197"/>
      <c r="T39" s="286"/>
      <c r="U39" s="1155"/>
      <c r="V39" s="2087"/>
      <c r="W39" s="2087"/>
      <c r="X39" s="2087"/>
      <c r="Y39" s="2087"/>
      <c r="Z39" s="2087"/>
      <c r="AA39" s="2087"/>
      <c r="AB39" s="2087"/>
      <c r="AC39" s="2087"/>
      <c r="AD39" s="2087"/>
      <c r="AE39" s="2087"/>
      <c r="AF39" s="2087"/>
      <c r="AG39" s="2087"/>
      <c r="AH39" s="2087"/>
      <c r="AI39" s="2087"/>
      <c r="AJ39" s="2087"/>
      <c r="AK39" s="2087"/>
      <c r="AL39" s="2087"/>
      <c r="AM39" s="2087"/>
      <c r="AN39" s="2087"/>
      <c r="AO39" s="2087"/>
      <c r="AP39" s="2087"/>
      <c r="AQ39" s="2087"/>
      <c r="AR39" s="2087"/>
      <c r="AS39" s="2087"/>
      <c r="AT39" s="2087"/>
      <c r="AU39" s="2087"/>
      <c r="AV39" s="2087"/>
      <c r="AW39" s="2087"/>
      <c r="AX39" s="2087"/>
      <c r="AY39" s="2087"/>
      <c r="AZ39" s="2087"/>
      <c r="BA39" s="2087"/>
    </row>
    <row r="40" spans="1:60" ht="14.25" customHeight="1">
      <c r="Q40" s="206"/>
      <c r="R40" s="300"/>
      <c r="S40" s="1874" t="s">
        <v>291</v>
      </c>
      <c r="T40" s="1874"/>
      <c r="U40" s="1874"/>
      <c r="V40" s="1874"/>
      <c r="W40" s="1874"/>
      <c r="X40" s="1874"/>
      <c r="Y40" s="1874"/>
      <c r="Z40" s="1874"/>
      <c r="AA40" s="1874"/>
      <c r="AB40" s="1874"/>
      <c r="AC40" s="1874"/>
      <c r="AD40" s="1874"/>
      <c r="AE40" s="1874"/>
      <c r="AF40" s="1874"/>
      <c r="AG40" s="1874"/>
      <c r="AH40" s="1874"/>
      <c r="AI40" s="1874"/>
      <c r="AJ40" s="1874"/>
      <c r="AK40" s="1874"/>
      <c r="AL40" s="1874"/>
      <c r="AM40" s="1874"/>
      <c r="AN40" s="1874"/>
      <c r="AO40" s="1874"/>
      <c r="AP40" s="1874"/>
      <c r="AQ40" s="1874"/>
      <c r="AR40" s="1874"/>
      <c r="AS40" s="1874"/>
      <c r="AT40" s="1874"/>
      <c r="AU40" s="1874"/>
      <c r="AV40" s="1874"/>
      <c r="AW40" s="1874"/>
      <c r="AX40" s="1874"/>
      <c r="AY40" s="1874"/>
      <c r="AZ40" s="1874"/>
      <c r="BA40" s="1874"/>
      <c r="BB40" s="1874"/>
      <c r="BC40" s="1874" t="s">
        <v>292</v>
      </c>
    </row>
    <row r="41" spans="1:60" ht="14.25" customHeight="1">
      <c r="Q41" s="206"/>
      <c r="R41" s="300"/>
      <c r="S41" s="2088" t="s">
        <v>88</v>
      </c>
      <c r="T41" s="1959" t="s">
        <v>1702</v>
      </c>
      <c r="U41" s="215"/>
      <c r="V41" s="2089" t="s">
        <v>489</v>
      </c>
      <c r="W41" s="2090"/>
      <c r="X41" s="2090"/>
      <c r="Y41" s="2090"/>
      <c r="Z41" s="2090"/>
      <c r="AA41" s="2090"/>
      <c r="AB41" s="2091"/>
      <c r="AC41" s="2092" t="s">
        <v>490</v>
      </c>
      <c r="AD41" s="2115" t="s">
        <v>2073</v>
      </c>
      <c r="AE41" s="2104"/>
      <c r="AF41" s="2104"/>
      <c r="AG41" s="2116"/>
      <c r="AH41" s="2115" t="s">
        <v>2074</v>
      </c>
      <c r="AI41" s="2104"/>
      <c r="AJ41" s="2104"/>
      <c r="AK41" s="2116"/>
      <c r="AL41" s="2115" t="s">
        <v>2075</v>
      </c>
      <c r="AM41" s="2104"/>
      <c r="AN41" s="2104"/>
      <c r="AO41" s="2116"/>
      <c r="AP41" s="2115" t="s">
        <v>1706</v>
      </c>
      <c r="AQ41" s="2104"/>
      <c r="AR41" s="2104"/>
      <c r="AS41" s="2116"/>
      <c r="AT41" s="2089" t="s">
        <v>489</v>
      </c>
      <c r="AU41" s="2090"/>
      <c r="AV41" s="2090"/>
      <c r="AW41" s="2090"/>
      <c r="AX41" s="2090"/>
      <c r="AY41" s="2090"/>
      <c r="AZ41" s="2091"/>
      <c r="BA41" s="2092" t="s">
        <v>490</v>
      </c>
      <c r="BB41" s="2095" t="s">
        <v>492</v>
      </c>
      <c r="BC41" s="1874"/>
    </row>
    <row r="42" spans="1:60" ht="33.75" customHeight="1">
      <c r="Q42" s="206"/>
      <c r="R42" s="300"/>
      <c r="S42" s="2088"/>
      <c r="T42" s="1959"/>
      <c r="U42" s="939"/>
      <c r="V42" s="1929" t="s">
        <v>1707</v>
      </c>
      <c r="W42" s="1930"/>
      <c r="X42" s="1929" t="s">
        <v>1708</v>
      </c>
      <c r="Y42" s="1930"/>
      <c r="Z42" s="1929" t="s">
        <v>1709</v>
      </c>
      <c r="AA42" s="2109"/>
      <c r="AB42" s="1930"/>
      <c r="AC42" s="2093"/>
      <c r="AD42" s="2117"/>
      <c r="AE42" s="2118"/>
      <c r="AF42" s="2118"/>
      <c r="AG42" s="2130"/>
      <c r="AH42" s="2117"/>
      <c r="AI42" s="2118"/>
      <c r="AJ42" s="2118"/>
      <c r="AK42" s="2130"/>
      <c r="AL42" s="2117"/>
      <c r="AM42" s="2118"/>
      <c r="AN42" s="2118"/>
      <c r="AO42" s="2130"/>
      <c r="AP42" s="2117"/>
      <c r="AQ42" s="2118"/>
      <c r="AR42" s="2118"/>
      <c r="AS42" s="2130"/>
      <c r="AT42" s="1929" t="s">
        <v>2076</v>
      </c>
      <c r="AU42" s="1930"/>
      <c r="AV42" s="1929" t="s">
        <v>2077</v>
      </c>
      <c r="AW42" s="1930"/>
      <c r="AX42" s="1929" t="s">
        <v>1709</v>
      </c>
      <c r="AY42" s="2109"/>
      <c r="AZ42" s="1930"/>
      <c r="BA42" s="2093"/>
      <c r="BB42" s="2096"/>
      <c r="BC42" s="1874"/>
    </row>
    <row r="43" spans="1:60" ht="14.25" customHeight="1">
      <c r="Q43" s="206"/>
      <c r="R43" s="300"/>
      <c r="S43" s="2088"/>
      <c r="T43" s="1959"/>
      <c r="U43" s="939"/>
      <c r="V43" s="1934"/>
      <c r="W43" s="1935"/>
      <c r="X43" s="1934"/>
      <c r="Y43" s="1935"/>
      <c r="Z43" s="1934"/>
      <c r="AA43" s="2110"/>
      <c r="AB43" s="1935"/>
      <c r="AC43" s="2093"/>
      <c r="AD43" s="2117"/>
      <c r="AE43" s="2118"/>
      <c r="AF43" s="2118"/>
      <c r="AG43" s="2130"/>
      <c r="AH43" s="2117"/>
      <c r="AI43" s="2118"/>
      <c r="AJ43" s="2118"/>
      <c r="AK43" s="2130"/>
      <c r="AL43" s="2117"/>
      <c r="AM43" s="2118"/>
      <c r="AN43" s="2118"/>
      <c r="AO43" s="2130"/>
      <c r="AP43" s="2117"/>
      <c r="AQ43" s="2118"/>
      <c r="AR43" s="2118"/>
      <c r="AS43" s="2130"/>
      <c r="AT43" s="1934"/>
      <c r="AU43" s="1935"/>
      <c r="AV43" s="1934"/>
      <c r="AW43" s="1935"/>
      <c r="AX43" s="1934"/>
      <c r="AY43" s="2110"/>
      <c r="AZ43" s="1935"/>
      <c r="BA43" s="2093"/>
      <c r="BB43" s="2096"/>
      <c r="BC43" s="1874"/>
    </row>
    <row r="44" spans="1:60" ht="14.25" customHeight="1">
      <c r="A44" s="1288"/>
      <c r="B44" s="1288" t="s">
        <v>140</v>
      </c>
      <c r="C44" s="1288" t="s">
        <v>141</v>
      </c>
      <c r="D44" s="1288" t="s">
        <v>142</v>
      </c>
      <c r="E44" s="1282" t="s">
        <v>497</v>
      </c>
      <c r="F44" s="1282" t="s">
        <v>498</v>
      </c>
      <c r="G44" s="1282" t="s">
        <v>499</v>
      </c>
      <c r="H44" s="1282" t="s">
        <v>500</v>
      </c>
      <c r="I44" s="1282" t="s">
        <v>501</v>
      </c>
      <c r="J44" s="1282" t="s">
        <v>502</v>
      </c>
      <c r="K44" s="1282" t="s">
        <v>503</v>
      </c>
      <c r="L44" s="1282" t="s">
        <v>478</v>
      </c>
      <c r="Q44" s="206"/>
      <c r="R44" s="300"/>
      <c r="S44" s="2088"/>
      <c r="T44" s="1959"/>
      <c r="U44" s="216"/>
      <c r="V44" s="1391" t="s">
        <v>551</v>
      </c>
      <c r="W44" s="1391" t="s">
        <v>552</v>
      </c>
      <c r="X44" s="1391" t="s">
        <v>551</v>
      </c>
      <c r="Y44" s="1391" t="s">
        <v>552</v>
      </c>
      <c r="Z44" s="1401" t="s">
        <v>506</v>
      </c>
      <c r="AA44" s="1965" t="s">
        <v>507</v>
      </c>
      <c r="AB44" s="1979"/>
      <c r="AC44" s="2094"/>
      <c r="AD44" s="2119"/>
      <c r="AE44" s="2120"/>
      <c r="AF44" s="2120"/>
      <c r="AG44" s="2121"/>
      <c r="AH44" s="2119"/>
      <c r="AI44" s="2120"/>
      <c r="AJ44" s="2120"/>
      <c r="AK44" s="2121"/>
      <c r="AL44" s="2119"/>
      <c r="AM44" s="2120"/>
      <c r="AN44" s="2120"/>
      <c r="AO44" s="2121"/>
      <c r="AP44" s="2119"/>
      <c r="AQ44" s="2120"/>
      <c r="AR44" s="2120"/>
      <c r="AS44" s="2121"/>
      <c r="AT44" s="1391" t="s">
        <v>551</v>
      </c>
      <c r="AU44" s="1391" t="s">
        <v>552</v>
      </c>
      <c r="AV44" s="1391" t="s">
        <v>551</v>
      </c>
      <c r="AW44" s="1391" t="s">
        <v>552</v>
      </c>
      <c r="AX44" s="1401" t="s">
        <v>506</v>
      </c>
      <c r="AY44" s="1965" t="s">
        <v>507</v>
      </c>
      <c r="AZ44" s="1979"/>
      <c r="BA44" s="2094"/>
      <c r="BB44" s="2097"/>
      <c r="BC44" s="1874"/>
    </row>
    <row r="45" spans="1:60" s="1558" customFormat="1" ht="11.25" hidden="1" customHeight="1">
      <c r="A45" s="1288"/>
      <c r="B45" s="1288"/>
      <c r="C45" s="1288"/>
      <c r="D45" s="1288"/>
      <c r="E45" s="1288"/>
      <c r="F45" s="1288"/>
      <c r="G45" s="1288"/>
      <c r="H45" s="1288"/>
      <c r="I45" s="1288"/>
      <c r="J45" s="1288"/>
      <c r="K45" s="1288"/>
      <c r="L45" s="1282"/>
      <c r="M45" s="1280"/>
      <c r="N45" s="1280"/>
      <c r="O45" s="1280"/>
      <c r="P45" s="436"/>
      <c r="Q45" s="1173"/>
      <c r="R45" s="1173">
        <v>1</v>
      </c>
      <c r="S45" s="1199" t="s">
        <v>109</v>
      </c>
      <c r="T45" s="1174" t="s">
        <v>110</v>
      </c>
      <c r="U45" s="1156" t="str">
        <f ca="1">OFFSET(U45,0,-1)</f>
        <v>2</v>
      </c>
      <c r="V45" s="1394">
        <f t="shared" ref="V45:AA45" ca="1" si="2">OFFSET(V45,0,-1)+1</f>
        <v>3</v>
      </c>
      <c r="W45" s="1394">
        <f t="shared" ca="1" si="2"/>
        <v>4</v>
      </c>
      <c r="X45" s="1394">
        <f t="shared" ca="1" si="2"/>
        <v>5</v>
      </c>
      <c r="Y45" s="1394">
        <f t="shared" ca="1" si="2"/>
        <v>6</v>
      </c>
      <c r="Z45" s="1394">
        <f t="shared" ca="1" si="2"/>
        <v>7</v>
      </c>
      <c r="AA45" s="2086">
        <f t="shared" ca="1" si="2"/>
        <v>8</v>
      </c>
      <c r="AB45" s="2086"/>
      <c r="AC45" s="1394">
        <f ca="1">OFFSET(AC45,0,-2)+1</f>
        <v>9</v>
      </c>
      <c r="AD45" s="1394">
        <f ca="1">OFFSET(AD45,0,-1)+1</f>
        <v>10</v>
      </c>
      <c r="AE45" s="1394"/>
      <c r="AF45" s="1394"/>
      <c r="AG45" s="1394"/>
      <c r="AH45" s="1394"/>
      <c r="AI45" s="1394"/>
      <c r="AJ45" s="1394"/>
      <c r="AK45" s="1394"/>
      <c r="AL45" s="1394"/>
      <c r="AM45" s="1394"/>
      <c r="AN45" s="1394"/>
      <c r="AO45" s="1394"/>
      <c r="AP45" s="1394"/>
      <c r="AQ45" s="1394"/>
      <c r="AR45" s="1394"/>
      <c r="AS45" s="1394"/>
      <c r="AT45" s="1394"/>
      <c r="AU45" s="1394"/>
      <c r="AV45" s="1394"/>
      <c r="AW45" s="1394">
        <f ca="1">OFFSET(AW45,0,-1)+1</f>
        <v>1</v>
      </c>
      <c r="AX45" s="1394">
        <f ca="1">OFFSET(AX45,0,-1)+1</f>
        <v>2</v>
      </c>
      <c r="AY45" s="2086">
        <f ca="1">OFFSET(AY45,0,-1)+1</f>
        <v>3</v>
      </c>
      <c r="AZ45" s="2086"/>
      <c r="BA45" s="1394">
        <f ca="1">OFFSET(BA45,0,-2)+1</f>
        <v>4</v>
      </c>
      <c r="BB45" s="1156">
        <f ca="1">OFFSET(BB45,0,-1)</f>
        <v>4</v>
      </c>
      <c r="BC45" s="1394">
        <f ca="1">OFFSET(BC45,0,-1)+1</f>
        <v>5</v>
      </c>
      <c r="BD45" s="437"/>
      <c r="BE45" s="437"/>
      <c r="BF45" s="437"/>
      <c r="BG45" s="437"/>
      <c r="BH45" s="437"/>
    </row>
    <row r="46" spans="1:60" ht="21" customHeight="1">
      <c r="A46" s="1281" t="s">
        <v>267</v>
      </c>
      <c r="B46" s="1281"/>
      <c r="C46" s="1281"/>
      <c r="D46" s="1281"/>
      <c r="E46" s="2076">
        <v>1</v>
      </c>
      <c r="F46" s="1281"/>
      <c r="G46" s="1281"/>
      <c r="H46" s="1281"/>
      <c r="I46" s="1281"/>
      <c r="J46" s="1281"/>
      <c r="K46" s="1281"/>
      <c r="L46" s="1282"/>
      <c r="M46" s="1283"/>
      <c r="N46" s="1283"/>
      <c r="O46" s="1283"/>
      <c r="P46" s="1327"/>
      <c r="Q46" s="786"/>
      <c r="R46" s="276"/>
      <c r="S46" s="1405">
        <f>INDEX(PT_DIFFERENTIATION_NUM_NTAR,MATCH(A46,PT_DIFFERENTIATION_NTAR_ID,0))</f>
        <v>0</v>
      </c>
      <c r="T46" s="212" t="s">
        <v>128</v>
      </c>
      <c r="U46" s="214"/>
      <c r="V46" s="2071"/>
      <c r="W46" s="2071"/>
      <c r="X46" s="2071"/>
      <c r="Y46" s="2071"/>
      <c r="Z46" s="2071"/>
      <c r="AA46" s="2071"/>
      <c r="AB46" s="2071"/>
      <c r="AC46" s="2072"/>
      <c r="AD46" s="2070" t="str">
        <f>INDEX(PT_DIFFERENTIATION_NTAR,MATCH(A46,PT_DIFFERENTIATION_NTAR_ID,0))</f>
        <v/>
      </c>
      <c r="AE46" s="2071"/>
      <c r="AF46" s="2071"/>
      <c r="AG46" s="2071"/>
      <c r="AH46" s="2071"/>
      <c r="AI46" s="2071"/>
      <c r="AJ46" s="2071"/>
      <c r="AK46" s="2071"/>
      <c r="AL46" s="2071"/>
      <c r="AM46" s="2071"/>
      <c r="AN46" s="2071"/>
      <c r="AO46" s="2071"/>
      <c r="AP46" s="2071"/>
      <c r="AQ46" s="2071"/>
      <c r="AR46" s="2071"/>
      <c r="AS46" s="2071"/>
      <c r="AT46" s="2071"/>
      <c r="AU46" s="2071"/>
      <c r="AV46" s="2071"/>
      <c r="AW46" s="2071"/>
      <c r="AX46" s="2071"/>
      <c r="AY46" s="2071"/>
      <c r="AZ46" s="2071"/>
      <c r="BA46" s="2071"/>
      <c r="BB46" s="2072"/>
      <c r="BC46" s="117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426"/>
      <c r="BF46" s="426" t="str">
        <f t="shared" ref="BF46:BF52" si="3">IF(T46="","",T46)</f>
        <v>Наименование тарифа</v>
      </c>
      <c r="BG46" s="426"/>
      <c r="BH46" s="426"/>
    </row>
    <row r="47" spans="1:60" ht="21" customHeight="1">
      <c r="A47" s="1281" t="s">
        <v>267</v>
      </c>
      <c r="B47" s="1281" t="s">
        <v>268</v>
      </c>
      <c r="C47" s="1281"/>
      <c r="D47" s="1281"/>
      <c r="E47" s="2077"/>
      <c r="F47" s="2076">
        <v>1</v>
      </c>
      <c r="G47" s="1281"/>
      <c r="H47" s="1281"/>
      <c r="I47" s="1281"/>
      <c r="J47" s="1281"/>
      <c r="K47" s="1281"/>
      <c r="L47" s="1282"/>
      <c r="M47" s="1283"/>
      <c r="N47" s="1283"/>
      <c r="O47" s="1283"/>
      <c r="P47" s="1328"/>
      <c r="Q47" s="1329"/>
      <c r="R47" s="274"/>
      <c r="S47" s="1405" t="str">
        <f>INDEX(PT_DIFFERENTIATION_NUM_TER,MATCH(B47,PT_DIFFERENTIATION_TER_ID,0))</f>
        <v>.</v>
      </c>
      <c r="T47" s="224" t="s">
        <v>460</v>
      </c>
      <c r="U47" s="214"/>
      <c r="V47" s="2071"/>
      <c r="W47" s="2071"/>
      <c r="X47" s="2071"/>
      <c r="Y47" s="2071"/>
      <c r="Z47" s="2071"/>
      <c r="AA47" s="2071"/>
      <c r="AB47" s="2071"/>
      <c r="AC47" s="2072"/>
      <c r="AD47" s="2070" t="str">
        <f>INDEX(PT_DIFFERENTIATION_TER,MATCH(B47,PT_DIFFERENTIATION_TER_ID,0))</f>
        <v/>
      </c>
      <c r="AE47" s="2071"/>
      <c r="AF47" s="2071"/>
      <c r="AG47" s="2071"/>
      <c r="AH47" s="2071"/>
      <c r="AI47" s="2071"/>
      <c r="AJ47" s="2071"/>
      <c r="AK47" s="2071"/>
      <c r="AL47" s="2071"/>
      <c r="AM47" s="2071"/>
      <c r="AN47" s="2071"/>
      <c r="AO47" s="2071"/>
      <c r="AP47" s="2071"/>
      <c r="AQ47" s="2071"/>
      <c r="AR47" s="2071"/>
      <c r="AS47" s="2071"/>
      <c r="AT47" s="2071"/>
      <c r="AU47" s="2071"/>
      <c r="AV47" s="2071"/>
      <c r="AW47" s="2071"/>
      <c r="AX47" s="2071"/>
      <c r="AY47" s="2071"/>
      <c r="AZ47" s="2071"/>
      <c r="BA47" s="2071"/>
      <c r="BB47" s="2072"/>
      <c r="BC47" s="1179" t="s">
        <v>461</v>
      </c>
      <c r="BE47" s="426"/>
      <c r="BF47" s="426" t="str">
        <f t="shared" si="3"/>
        <v>Территория действия тарифа</v>
      </c>
      <c r="BG47" s="426"/>
      <c r="BH47" s="426"/>
    </row>
    <row r="48" spans="1:60" ht="33.75" customHeight="1">
      <c r="A48" s="1281" t="s">
        <v>267</v>
      </c>
      <c r="B48" s="1281" t="s">
        <v>268</v>
      </c>
      <c r="C48" s="1281" t="s">
        <v>269</v>
      </c>
      <c r="D48" s="1281"/>
      <c r="E48" s="2077"/>
      <c r="F48" s="2077"/>
      <c r="G48" s="2076">
        <v>1</v>
      </c>
      <c r="H48" s="1281"/>
      <c r="I48" s="1281"/>
      <c r="J48" s="1281"/>
      <c r="K48" s="1281"/>
      <c r="L48" s="1282"/>
      <c r="M48" s="1283"/>
      <c r="N48" s="1283"/>
      <c r="O48" s="1283"/>
      <c r="P48" s="1330"/>
      <c r="Q48" s="1329"/>
      <c r="R48" s="274"/>
      <c r="S48" s="1405" t="str">
        <f>INDEX(PT_DIFFERENTIATION_NUM_CS,MATCH(C48,PT_DIFFERENTIATION_CS_ID,0))</f>
        <v>..</v>
      </c>
      <c r="T48" s="225" t="s">
        <v>2063</v>
      </c>
      <c r="U48" s="214"/>
      <c r="V48" s="2071"/>
      <c r="W48" s="2071"/>
      <c r="X48" s="2071"/>
      <c r="Y48" s="2071"/>
      <c r="Z48" s="2071"/>
      <c r="AA48" s="2071"/>
      <c r="AB48" s="2071"/>
      <c r="AC48" s="2072"/>
      <c r="AD48" s="2070" t="str">
        <f>INDEX(PT_DIFFERENTIATION_CS,MATCH(C48,PT_DIFFERENTIATION_CS_ID,0))</f>
        <v/>
      </c>
      <c r="AE48" s="2071"/>
      <c r="AF48" s="2071"/>
      <c r="AG48" s="2071"/>
      <c r="AH48" s="2071"/>
      <c r="AI48" s="2071"/>
      <c r="AJ48" s="2071"/>
      <c r="AK48" s="2071"/>
      <c r="AL48" s="2071"/>
      <c r="AM48" s="2071"/>
      <c r="AN48" s="2071"/>
      <c r="AO48" s="2071"/>
      <c r="AP48" s="2071"/>
      <c r="AQ48" s="2071"/>
      <c r="AR48" s="2071"/>
      <c r="AS48" s="2071"/>
      <c r="AT48" s="2071"/>
      <c r="AU48" s="2071"/>
      <c r="AV48" s="2071"/>
      <c r="AW48" s="2071"/>
      <c r="AX48" s="2071"/>
      <c r="AY48" s="2071"/>
      <c r="AZ48" s="2071"/>
      <c r="BA48" s="2071"/>
      <c r="BB48" s="2072"/>
      <c r="BC48" s="1179" t="s">
        <v>2064</v>
      </c>
      <c r="BE48" s="426"/>
      <c r="BF48" s="426" t="str">
        <f t="shared" si="3"/>
        <v>Наименование централизованной системы водоотведения</v>
      </c>
      <c r="BG48" s="426"/>
      <c r="BH48" s="426"/>
    </row>
    <row r="49" spans="1:60" s="1559" customFormat="1" ht="0" hidden="1" customHeight="1">
      <c r="A49" s="1262" t="s">
        <v>267</v>
      </c>
      <c r="B49" s="1262" t="s">
        <v>268</v>
      </c>
      <c r="C49" s="1262" t="s">
        <v>269</v>
      </c>
      <c r="D49" s="1262" t="s">
        <v>2078</v>
      </c>
      <c r="E49" s="2077"/>
      <c r="F49" s="2077"/>
      <c r="G49" s="2077"/>
      <c r="H49" s="2076">
        <v>1</v>
      </c>
      <c r="I49" s="1262"/>
      <c r="J49" s="1262"/>
      <c r="K49" s="1262"/>
      <c r="L49" s="1265"/>
      <c r="M49" s="1235"/>
      <c r="N49" s="1235"/>
      <c r="O49" s="1235"/>
      <c r="P49" s="1409"/>
      <c r="Q49" s="1410"/>
      <c r="R49" s="278"/>
      <c r="S49" s="950"/>
      <c r="T49" s="1411"/>
      <c r="U49" s="1302"/>
      <c r="V49" s="2106"/>
      <c r="W49" s="2106"/>
      <c r="X49" s="2106"/>
      <c r="Y49" s="2106"/>
      <c r="Z49" s="2106"/>
      <c r="AA49" s="2106"/>
      <c r="AB49" s="2106"/>
      <c r="AC49" s="2107"/>
      <c r="AD49" s="2105"/>
      <c r="AE49" s="2106"/>
      <c r="AF49" s="2106"/>
      <c r="AG49" s="2106"/>
      <c r="AH49" s="2106"/>
      <c r="AI49" s="2106"/>
      <c r="AJ49" s="2106"/>
      <c r="AK49" s="2106"/>
      <c r="AL49" s="2106"/>
      <c r="AM49" s="2106"/>
      <c r="AN49" s="2106"/>
      <c r="AO49" s="2106"/>
      <c r="AP49" s="2106"/>
      <c r="AQ49" s="2106"/>
      <c r="AR49" s="2106"/>
      <c r="AS49" s="2106"/>
      <c r="AT49" s="2106"/>
      <c r="AU49" s="2106"/>
      <c r="AV49" s="2106"/>
      <c r="AW49" s="2106"/>
      <c r="AX49" s="2106"/>
      <c r="AY49" s="2106"/>
      <c r="AZ49" s="2106"/>
      <c r="BA49" s="2106"/>
      <c r="BB49" s="2107"/>
      <c r="BC49" s="1303" t="s">
        <v>465</v>
      </c>
      <c r="BE49" s="426"/>
      <c r="BF49" s="426" t="str">
        <f t="shared" si="3"/>
        <v/>
      </c>
      <c r="BG49" s="426"/>
      <c r="BH49" s="426"/>
    </row>
    <row r="50" spans="1:60" s="1559" customFormat="1" ht="0" hidden="1" customHeight="1">
      <c r="A50" s="1262" t="s">
        <v>267</v>
      </c>
      <c r="B50" s="1262" t="s">
        <v>268</v>
      </c>
      <c r="C50" s="1262" t="s">
        <v>269</v>
      </c>
      <c r="D50" s="1262" t="s">
        <v>2078</v>
      </c>
      <c r="E50" s="2077"/>
      <c r="F50" s="2077"/>
      <c r="G50" s="2077"/>
      <c r="H50" s="2077"/>
      <c r="I50" s="2078" t="str">
        <f>S49&amp;".1"</f>
        <v>.1</v>
      </c>
      <c r="J50" s="1262"/>
      <c r="K50" s="1262"/>
      <c r="L50" s="1265" t="s">
        <v>466</v>
      </c>
      <c r="M50" s="436"/>
      <c r="N50" s="436"/>
      <c r="O50" s="436"/>
      <c r="P50" s="1995">
        <v>1</v>
      </c>
      <c r="Q50" s="1393"/>
      <c r="R50" s="277"/>
      <c r="S50" s="950"/>
      <c r="T50" s="1301"/>
      <c r="U50" s="1302"/>
      <c r="V50" s="2106"/>
      <c r="W50" s="2106"/>
      <c r="X50" s="2106"/>
      <c r="Y50" s="2106"/>
      <c r="Z50" s="2106"/>
      <c r="AA50" s="2106"/>
      <c r="AB50" s="2106"/>
      <c r="AC50" s="2107"/>
      <c r="AD50" s="2105"/>
      <c r="AE50" s="2106"/>
      <c r="AF50" s="2106"/>
      <c r="AG50" s="2106"/>
      <c r="AH50" s="2106"/>
      <c r="AI50" s="2106"/>
      <c r="AJ50" s="2106"/>
      <c r="AK50" s="2106"/>
      <c r="AL50" s="2106"/>
      <c r="AM50" s="2106"/>
      <c r="AN50" s="2106"/>
      <c r="AO50" s="2106"/>
      <c r="AP50" s="2106"/>
      <c r="AQ50" s="2106"/>
      <c r="AR50" s="2106"/>
      <c r="AS50" s="2106"/>
      <c r="AT50" s="2106"/>
      <c r="AU50" s="2106"/>
      <c r="AV50" s="2106"/>
      <c r="AW50" s="2106"/>
      <c r="AX50" s="2106"/>
      <c r="AY50" s="2106"/>
      <c r="AZ50" s="2106"/>
      <c r="BA50" s="2106"/>
      <c r="BB50" s="2107"/>
      <c r="BC50" s="1303"/>
      <c r="BE50" s="426"/>
      <c r="BF50" s="426" t="str">
        <f t="shared" si="3"/>
        <v/>
      </c>
      <c r="BG50" s="426"/>
      <c r="BH50" s="426"/>
    </row>
    <row r="51" spans="1:60" s="1559" customFormat="1" ht="0" hidden="1" customHeight="1">
      <c r="A51" s="1262" t="s">
        <v>267</v>
      </c>
      <c r="B51" s="1262" t="s">
        <v>268</v>
      </c>
      <c r="C51" s="1262" t="s">
        <v>269</v>
      </c>
      <c r="D51" s="1262" t="s">
        <v>2078</v>
      </c>
      <c r="E51" s="2077"/>
      <c r="F51" s="2077"/>
      <c r="G51" s="2077"/>
      <c r="H51" s="2077"/>
      <c r="I51" s="2079"/>
      <c r="J51" s="2078" t="str">
        <f>S49&amp;".1"</f>
        <v>.1</v>
      </c>
      <c r="K51" s="1262"/>
      <c r="L51" s="1265"/>
      <c r="M51" s="436"/>
      <c r="N51" s="436"/>
      <c r="O51" s="436"/>
      <c r="P51" s="1995"/>
      <c r="Q51" s="1995">
        <v>1</v>
      </c>
      <c r="R51" s="278"/>
      <c r="S51" s="950"/>
      <c r="T51" s="1317"/>
      <c r="U51" s="1302"/>
      <c r="V51" s="2106"/>
      <c r="W51" s="2106"/>
      <c r="X51" s="2106"/>
      <c r="Y51" s="2106"/>
      <c r="Z51" s="2106"/>
      <c r="AA51" s="2106"/>
      <c r="AB51" s="2106"/>
      <c r="AC51" s="2107"/>
      <c r="AD51" s="2105"/>
      <c r="AE51" s="2106"/>
      <c r="AF51" s="2106"/>
      <c r="AG51" s="2106"/>
      <c r="AH51" s="2106"/>
      <c r="AI51" s="2106"/>
      <c r="AJ51" s="2106"/>
      <c r="AK51" s="2106"/>
      <c r="AL51" s="2106"/>
      <c r="AM51" s="2106"/>
      <c r="AN51" s="2191"/>
      <c r="AO51" s="2191"/>
      <c r="AP51" s="2106"/>
      <c r="AQ51" s="2106"/>
      <c r="AR51" s="2106"/>
      <c r="AS51" s="2106"/>
      <c r="AT51" s="2106"/>
      <c r="AU51" s="2106"/>
      <c r="AV51" s="2106"/>
      <c r="AW51" s="2106"/>
      <c r="AX51" s="2106"/>
      <c r="AY51" s="2106"/>
      <c r="AZ51" s="2106"/>
      <c r="BA51" s="2106"/>
      <c r="BB51" s="2107"/>
      <c r="BC51" s="1303"/>
      <c r="BE51" s="426"/>
      <c r="BF51" s="426" t="str">
        <f t="shared" si="3"/>
        <v/>
      </c>
      <c r="BG51" s="426"/>
      <c r="BH51" s="426"/>
    </row>
    <row r="52" spans="1:60" ht="11.25" customHeight="1">
      <c r="A52" s="1281" t="s">
        <v>267</v>
      </c>
      <c r="B52" s="1281" t="s">
        <v>268</v>
      </c>
      <c r="C52" s="1281" t="s">
        <v>269</v>
      </c>
      <c r="D52" s="1281" t="s">
        <v>2078</v>
      </c>
      <c r="E52" s="2077"/>
      <c r="F52" s="2077"/>
      <c r="G52" s="2077"/>
      <c r="H52" s="2077"/>
      <c r="I52" s="2079"/>
      <c r="J52" s="2079"/>
      <c r="K52" s="2078" t="str">
        <f>S48&amp;".1"</f>
        <v>...1</v>
      </c>
      <c r="L52" s="1282"/>
      <c r="P52" s="1995"/>
      <c r="Q52" s="1995"/>
      <c r="R52" s="278">
        <v>1</v>
      </c>
      <c r="S52" s="2126" t="str">
        <f>$K52</f>
        <v>...1</v>
      </c>
      <c r="T52" s="2185"/>
      <c r="U52" s="214"/>
      <c r="V52" s="664"/>
      <c r="W52" s="1178"/>
      <c r="X52" s="664"/>
      <c r="Y52" s="1178"/>
      <c r="Z52" s="1650"/>
      <c r="AA52" s="1382" t="s">
        <v>59</v>
      </c>
      <c r="AB52" s="1650"/>
      <c r="AC52" s="1382" t="s">
        <v>59</v>
      </c>
      <c r="AD52" s="1941" t="s">
        <v>59</v>
      </c>
      <c r="AE52" s="2122"/>
      <c r="AF52" s="1954">
        <v>1</v>
      </c>
      <c r="AG52" s="2184"/>
      <c r="AH52" s="1885" t="s">
        <v>59</v>
      </c>
      <c r="AI52" s="2122"/>
      <c r="AJ52" s="1954">
        <v>1</v>
      </c>
      <c r="AK52" s="2183" t="s">
        <v>18</v>
      </c>
      <c r="AL52" s="1885" t="s">
        <v>59</v>
      </c>
      <c r="AM52" s="1929"/>
      <c r="AN52" s="1954">
        <v>1</v>
      </c>
      <c r="AO52" s="2188"/>
      <c r="AP52" s="2189" t="s">
        <v>59</v>
      </c>
      <c r="AQ52" s="227"/>
      <c r="AR52" s="1398">
        <v>1</v>
      </c>
      <c r="AS52" s="1404" t="s">
        <v>18</v>
      </c>
      <c r="AT52" s="664"/>
      <c r="AU52" s="1178"/>
      <c r="AV52" s="664"/>
      <c r="AW52" s="1178"/>
      <c r="AX52" s="1650"/>
      <c r="AY52" s="1382" t="s">
        <v>59</v>
      </c>
      <c r="AZ52" s="1650"/>
      <c r="BA52" s="1382" t="s">
        <v>59</v>
      </c>
      <c r="BB52" s="1267"/>
      <c r="BC52" s="2098" t="s">
        <v>1696</v>
      </c>
      <c r="BE52" s="426"/>
      <c r="BF52" s="426" t="str">
        <f t="shared" si="3"/>
        <v/>
      </c>
      <c r="BG52" s="426"/>
      <c r="BH52" s="426"/>
    </row>
    <row r="53" spans="1:60" ht="11.25" customHeight="1">
      <c r="A53" s="1281"/>
      <c r="B53" s="1281"/>
      <c r="C53" s="1281"/>
      <c r="D53" s="1281"/>
      <c r="E53" s="2077"/>
      <c r="F53" s="2077"/>
      <c r="G53" s="2077"/>
      <c r="H53" s="2077"/>
      <c r="I53" s="2079"/>
      <c r="J53" s="2079"/>
      <c r="K53" s="2078"/>
      <c r="L53" s="1282"/>
      <c r="P53" s="1995"/>
      <c r="Q53" s="1995"/>
      <c r="R53" s="278"/>
      <c r="S53" s="2127"/>
      <c r="T53" s="2186"/>
      <c r="U53" s="214"/>
      <c r="V53" s="1311"/>
      <c r="W53" s="1408"/>
      <c r="X53" s="1311"/>
      <c r="Y53" s="1408"/>
      <c r="Z53" s="1311"/>
      <c r="AA53" s="1311"/>
      <c r="AB53" s="1311"/>
      <c r="AC53" s="1311"/>
      <c r="AD53" s="1942"/>
      <c r="AE53" s="2122"/>
      <c r="AF53" s="1954"/>
      <c r="AG53" s="2184"/>
      <c r="AH53" s="1885"/>
      <c r="AI53" s="2122"/>
      <c r="AJ53" s="1954"/>
      <c r="AK53" s="2183"/>
      <c r="AL53" s="1885"/>
      <c r="AM53" s="1934"/>
      <c r="AN53" s="1954"/>
      <c r="AO53" s="2188"/>
      <c r="AP53" s="2190"/>
      <c r="AQ53" s="234"/>
      <c r="AR53" s="346"/>
      <c r="AS53" s="346" t="s">
        <v>1697</v>
      </c>
      <c r="AT53" s="1311"/>
      <c r="AU53" s="1408"/>
      <c r="AV53" s="1311"/>
      <c r="AW53" s="1408"/>
      <c r="AX53" s="1311"/>
      <c r="AY53" s="1311"/>
      <c r="AZ53" s="1311"/>
      <c r="BA53" s="1311"/>
      <c r="BB53" s="1315"/>
      <c r="BC53" s="2099"/>
      <c r="BE53" s="426"/>
      <c r="BF53" s="426"/>
      <c r="BG53" s="426"/>
      <c r="BH53" s="426"/>
    </row>
    <row r="54" spans="1:60" ht="11.25" customHeight="1">
      <c r="A54" s="1281" t="s">
        <v>267</v>
      </c>
      <c r="B54" s="1281"/>
      <c r="C54" s="1281"/>
      <c r="D54" s="1281"/>
      <c r="E54" s="2077"/>
      <c r="F54" s="2077"/>
      <c r="G54" s="2077"/>
      <c r="H54" s="2077"/>
      <c r="I54" s="2079"/>
      <c r="J54" s="2079"/>
      <c r="K54" s="2078"/>
      <c r="L54" s="1282"/>
      <c r="P54" s="1995"/>
      <c r="Q54" s="1995"/>
      <c r="R54" s="278"/>
      <c r="S54" s="2127"/>
      <c r="T54" s="2186"/>
      <c r="U54" s="214"/>
      <c r="V54" s="1311"/>
      <c r="W54" s="1408"/>
      <c r="X54" s="1311"/>
      <c r="Y54" s="1408"/>
      <c r="Z54" s="1311"/>
      <c r="AA54" s="1311"/>
      <c r="AB54" s="1311"/>
      <c r="AC54" s="1311"/>
      <c r="AD54" s="1942"/>
      <c r="AE54" s="2122"/>
      <c r="AF54" s="1954"/>
      <c r="AG54" s="2184"/>
      <c r="AH54" s="1885"/>
      <c r="AI54" s="2122"/>
      <c r="AJ54" s="1954"/>
      <c r="AK54" s="2183"/>
      <c r="AL54" s="1885"/>
      <c r="AM54" s="234"/>
      <c r="AN54" s="1412"/>
      <c r="AO54" s="1412" t="s">
        <v>2071</v>
      </c>
      <c r="AP54" s="346"/>
      <c r="AQ54" s="346"/>
      <c r="AR54" s="346"/>
      <c r="AS54" s="1311"/>
      <c r="AT54" s="1311"/>
      <c r="AU54" s="1408"/>
      <c r="AV54" s="1311"/>
      <c r="AW54" s="1408"/>
      <c r="AX54" s="1311"/>
      <c r="AY54" s="1311"/>
      <c r="AZ54" s="1311"/>
      <c r="BA54" s="1311"/>
      <c r="BB54" s="1315"/>
      <c r="BC54" s="2099"/>
      <c r="BE54" s="426"/>
      <c r="BF54" s="426"/>
      <c r="BG54" s="426"/>
      <c r="BH54" s="426"/>
    </row>
    <row r="55" spans="1:60" ht="11.25" customHeight="1">
      <c r="A55" s="1281" t="s">
        <v>267</v>
      </c>
      <c r="B55" s="1281"/>
      <c r="C55" s="1281"/>
      <c r="D55" s="1281"/>
      <c r="E55" s="2077"/>
      <c r="F55" s="2077"/>
      <c r="G55" s="2077"/>
      <c r="H55" s="2077"/>
      <c r="I55" s="2079"/>
      <c r="J55" s="2079"/>
      <c r="K55" s="2078"/>
      <c r="L55" s="1282"/>
      <c r="P55" s="1995"/>
      <c r="Q55" s="1995"/>
      <c r="R55" s="278"/>
      <c r="S55" s="2127"/>
      <c r="T55" s="2186"/>
      <c r="U55" s="214"/>
      <c r="V55" s="1311"/>
      <c r="W55" s="1408"/>
      <c r="X55" s="1311"/>
      <c r="Y55" s="1408"/>
      <c r="Z55" s="1311"/>
      <c r="AA55" s="1311"/>
      <c r="AB55" s="1311"/>
      <c r="AC55" s="1311"/>
      <c r="AD55" s="1942"/>
      <c r="AE55" s="2122"/>
      <c r="AF55" s="1954"/>
      <c r="AG55" s="2184"/>
      <c r="AH55" s="1885"/>
      <c r="AI55" s="208"/>
      <c r="AJ55" s="345"/>
      <c r="AK55" s="229" t="s">
        <v>2072</v>
      </c>
      <c r="AL55" s="1311"/>
      <c r="AM55" s="1311"/>
      <c r="AN55" s="1311"/>
      <c r="AO55" s="1311"/>
      <c r="AP55" s="1311"/>
      <c r="AQ55" s="1311"/>
      <c r="AR55" s="1311"/>
      <c r="AS55" s="1311"/>
      <c r="AT55" s="1311"/>
      <c r="AU55" s="1408"/>
      <c r="AV55" s="1311"/>
      <c r="AW55" s="1408"/>
      <c r="AX55" s="1311"/>
      <c r="AY55" s="1311"/>
      <c r="AZ55" s="1311"/>
      <c r="BA55" s="1311"/>
      <c r="BB55" s="1315"/>
      <c r="BC55" s="2099"/>
      <c r="BE55" s="426"/>
      <c r="BF55" s="426"/>
      <c r="BG55" s="426"/>
      <c r="BH55" s="426"/>
    </row>
    <row r="56" spans="1:60" ht="11.25" customHeight="1">
      <c r="A56" s="1281" t="s">
        <v>267</v>
      </c>
      <c r="B56" s="1281" t="s">
        <v>268</v>
      </c>
      <c r="C56" s="1281" t="s">
        <v>269</v>
      </c>
      <c r="D56" s="1281" t="s">
        <v>2078</v>
      </c>
      <c r="E56" s="2077"/>
      <c r="F56" s="2077"/>
      <c r="G56" s="2077"/>
      <c r="H56" s="2077"/>
      <c r="I56" s="2079"/>
      <c r="J56" s="2079"/>
      <c r="K56" s="2078"/>
      <c r="L56" s="1282"/>
      <c r="P56" s="1995"/>
      <c r="Q56" s="1995"/>
      <c r="R56" s="278"/>
      <c r="S56" s="2128"/>
      <c r="T56" s="2187"/>
      <c r="U56" s="214"/>
      <c r="V56" s="1311"/>
      <c r="W56" s="1312" t="str">
        <f>Z52&amp;"-"&amp;AB52</f>
        <v>-</v>
      </c>
      <c r="X56" s="1311"/>
      <c r="Y56" s="1312" t="str">
        <f>AB52&amp;"-"&amp;AD52</f>
        <v>-да</v>
      </c>
      <c r="Z56" s="1311"/>
      <c r="AA56" s="1311"/>
      <c r="AB56" s="1311"/>
      <c r="AC56" s="1311"/>
      <c r="AD56" s="1890"/>
      <c r="AE56" s="228"/>
      <c r="AF56" s="230"/>
      <c r="AG56" s="346" t="s">
        <v>1700</v>
      </c>
      <c r="AH56" s="1311"/>
      <c r="AI56" s="1311"/>
      <c r="AJ56" s="1311"/>
      <c r="AK56" s="1311"/>
      <c r="AL56" s="1311"/>
      <c r="AM56" s="1311"/>
      <c r="AN56" s="1311"/>
      <c r="AO56" s="1311"/>
      <c r="AP56" s="1311"/>
      <c r="AQ56" s="1311"/>
      <c r="AR56" s="1311"/>
      <c r="AS56" s="1311"/>
      <c r="AT56" s="1311"/>
      <c r="AU56" s="1312" t="str">
        <f>AX52&amp;"-"&amp;AZ52</f>
        <v>-</v>
      </c>
      <c r="AV56" s="1311"/>
      <c r="AW56" s="1312" t="str">
        <f>AZ52&amp;"-"&amp;BB52</f>
        <v>-</v>
      </c>
      <c r="AX56" s="1311"/>
      <c r="AY56" s="1311"/>
      <c r="AZ56" s="1311"/>
      <c r="BA56" s="1311"/>
      <c r="BB56" s="1314" t="str">
        <f>BE52&amp;"-"&amp;BG52</f>
        <v>-</v>
      </c>
      <c r="BC56" s="2099"/>
      <c r="BE56" s="426"/>
      <c r="BF56" s="426" t="str">
        <f t="shared" ref="BF56:BF63" si="4">IF(T56="","",T56)</f>
        <v/>
      </c>
      <c r="BG56" s="426"/>
      <c r="BH56" s="426"/>
    </row>
    <row r="57" spans="1:60" ht="11.25" customHeight="1">
      <c r="A57" s="1281" t="s">
        <v>267</v>
      </c>
      <c r="B57" s="1281" t="s">
        <v>268</v>
      </c>
      <c r="C57" s="1281" t="s">
        <v>269</v>
      </c>
      <c r="D57" s="1281" t="s">
        <v>2078</v>
      </c>
      <c r="E57" s="2077"/>
      <c r="F57" s="2077"/>
      <c r="G57" s="2077"/>
      <c r="H57" s="2077"/>
      <c r="I57" s="2079"/>
      <c r="J57" s="2078"/>
      <c r="K57" s="1281"/>
      <c r="L57" s="1282"/>
      <c r="P57" s="1995"/>
      <c r="Q57" s="1995"/>
      <c r="R57" s="277"/>
      <c r="S57" s="1200"/>
      <c r="T57" s="202" t="s">
        <v>540</v>
      </c>
      <c r="U57" s="291"/>
      <c r="V57" s="291"/>
      <c r="W57" s="291"/>
      <c r="X57" s="291"/>
      <c r="Y57" s="291"/>
      <c r="Z57" s="291"/>
      <c r="AA57" s="291"/>
      <c r="AB57" s="291"/>
      <c r="AC57" s="245"/>
      <c r="AD57" s="1417"/>
      <c r="AE57" s="291"/>
      <c r="AF57" s="291"/>
      <c r="AG57" s="291"/>
      <c r="AH57" s="291"/>
      <c r="AI57" s="291"/>
      <c r="AJ57" s="291"/>
      <c r="AK57" s="291"/>
      <c r="AL57" s="291"/>
      <c r="AM57" s="291"/>
      <c r="AN57" s="291"/>
      <c r="AO57" s="291"/>
      <c r="AP57" s="291"/>
      <c r="AQ57" s="291"/>
      <c r="AR57" s="291"/>
      <c r="AS57" s="291"/>
      <c r="AT57" s="291"/>
      <c r="AU57" s="291"/>
      <c r="AV57" s="291"/>
      <c r="AW57" s="291"/>
      <c r="AX57" s="291"/>
      <c r="AY57" s="291"/>
      <c r="AZ57" s="291"/>
      <c r="BA57" s="291"/>
      <c r="BB57" s="245"/>
      <c r="BC57" s="2100"/>
      <c r="BE57" s="426"/>
      <c r="BF57" s="426" t="str">
        <f t="shared" si="4"/>
        <v>Добавить строку</v>
      </c>
      <c r="BG57" s="426"/>
      <c r="BH57" s="426"/>
    </row>
    <row r="58" spans="1:60" s="1559" customFormat="1" ht="0" hidden="1" customHeight="1">
      <c r="A58" s="1262" t="s">
        <v>267</v>
      </c>
      <c r="B58" s="1262" t="s">
        <v>268</v>
      </c>
      <c r="C58" s="1262" t="s">
        <v>269</v>
      </c>
      <c r="D58" s="1262" t="s">
        <v>2078</v>
      </c>
      <c r="E58" s="2077"/>
      <c r="F58" s="2077"/>
      <c r="G58" s="2077"/>
      <c r="H58" s="2077"/>
      <c r="I58" s="2078"/>
      <c r="J58" s="1262"/>
      <c r="K58" s="1262"/>
      <c r="L58" s="1265"/>
      <c r="M58" s="436"/>
      <c r="N58" s="436"/>
      <c r="O58" s="436"/>
      <c r="P58" s="1995"/>
      <c r="Q58" s="1393"/>
      <c r="R58" s="277"/>
      <c r="S58" s="1304"/>
      <c r="T58" s="1305"/>
      <c r="U58" s="1306"/>
      <c r="V58" s="1306"/>
      <c r="W58" s="1306"/>
      <c r="X58" s="1306"/>
      <c r="Y58" s="1306"/>
      <c r="Z58" s="1306"/>
      <c r="AA58" s="1306"/>
      <c r="AB58" s="1306"/>
      <c r="AC58" s="1306"/>
      <c r="AD58" s="1306"/>
      <c r="AE58" s="1306"/>
      <c r="AF58" s="1306"/>
      <c r="AG58" s="1306"/>
      <c r="AH58" s="1306"/>
      <c r="AI58" s="1306"/>
      <c r="AJ58" s="1306"/>
      <c r="AK58" s="1306"/>
      <c r="AL58" s="1306"/>
      <c r="AM58" s="1306"/>
      <c r="AN58" s="1306"/>
      <c r="AO58" s="1306"/>
      <c r="AP58" s="1306"/>
      <c r="AQ58" s="1306"/>
      <c r="AR58" s="1306"/>
      <c r="AS58" s="1306"/>
      <c r="AT58" s="1306"/>
      <c r="AU58" s="1306"/>
      <c r="AV58" s="1306"/>
      <c r="AW58" s="1306"/>
      <c r="AX58" s="1306"/>
      <c r="AY58" s="1306"/>
      <c r="AZ58" s="1306"/>
      <c r="BA58" s="1306"/>
      <c r="BB58" s="1306"/>
      <c r="BC58" s="1307"/>
      <c r="BE58" s="426"/>
      <c r="BF58" s="426" t="str">
        <f t="shared" si="4"/>
        <v/>
      </c>
      <c r="BG58" s="426"/>
      <c r="BH58" s="426"/>
    </row>
    <row r="59" spans="1:60" s="1559" customFormat="1" ht="0" hidden="1" customHeight="1">
      <c r="A59" s="1262" t="s">
        <v>267</v>
      </c>
      <c r="B59" s="1262" t="s">
        <v>268</v>
      </c>
      <c r="C59" s="1262" t="s">
        <v>269</v>
      </c>
      <c r="D59" s="1262" t="s">
        <v>2078</v>
      </c>
      <c r="E59" s="2077"/>
      <c r="F59" s="2077"/>
      <c r="G59" s="2077"/>
      <c r="H59" s="2076"/>
      <c r="I59" s="1262"/>
      <c r="J59" s="1262"/>
      <c r="K59" s="1262"/>
      <c r="L59" s="1265"/>
      <c r="M59" s="1235"/>
      <c r="N59" s="1235"/>
      <c r="O59" s="444"/>
      <c r="P59" s="308"/>
      <c r="Q59" s="1263"/>
      <c r="R59" s="1319"/>
      <c r="S59" s="1304"/>
      <c r="T59" s="1305"/>
      <c r="U59" s="1306"/>
      <c r="V59" s="1306"/>
      <c r="W59" s="1306"/>
      <c r="X59" s="1306"/>
      <c r="Y59" s="1306"/>
      <c r="Z59" s="1306"/>
      <c r="AA59" s="1306"/>
      <c r="AB59" s="1306"/>
      <c r="AC59" s="1306"/>
      <c r="AD59" s="1306"/>
      <c r="AE59" s="1306"/>
      <c r="AF59" s="1306"/>
      <c r="AG59" s="1306"/>
      <c r="AH59" s="1306"/>
      <c r="AI59" s="1306"/>
      <c r="AJ59" s="1306"/>
      <c r="AK59" s="1306"/>
      <c r="AL59" s="1306"/>
      <c r="AM59" s="1306"/>
      <c r="AN59" s="1306"/>
      <c r="AO59" s="1306"/>
      <c r="AP59" s="1306"/>
      <c r="AQ59" s="1306"/>
      <c r="AR59" s="1306"/>
      <c r="AS59" s="1306"/>
      <c r="AT59" s="1306"/>
      <c r="AU59" s="1306"/>
      <c r="AV59" s="1306"/>
      <c r="AW59" s="1306"/>
      <c r="AX59" s="1306"/>
      <c r="AY59" s="1306"/>
      <c r="AZ59" s="1306"/>
      <c r="BA59" s="1306"/>
      <c r="BB59" s="1306"/>
      <c r="BC59" s="1307"/>
      <c r="BE59" s="426"/>
      <c r="BF59" s="426" t="str">
        <f t="shared" si="4"/>
        <v/>
      </c>
      <c r="BG59" s="426"/>
      <c r="BH59" s="426"/>
    </row>
    <row r="60" spans="1:60" s="1559" customFormat="1" ht="0" hidden="1" customHeight="1">
      <c r="A60" s="1262" t="s">
        <v>267</v>
      </c>
      <c r="B60" s="1262" t="s">
        <v>268</v>
      </c>
      <c r="C60" s="1262" t="s">
        <v>269</v>
      </c>
      <c r="D60" s="1234"/>
      <c r="E60" s="2077"/>
      <c r="F60" s="2077"/>
      <c r="G60" s="2076"/>
      <c r="H60" s="1234"/>
      <c r="I60" s="1234"/>
      <c r="J60" s="1234"/>
      <c r="K60" s="1234"/>
      <c r="L60" s="1406"/>
      <c r="M60" s="1235"/>
      <c r="N60" s="1235"/>
      <c r="P60" s="1236"/>
      <c r="Q60" s="1237"/>
      <c r="R60" s="1236"/>
      <c r="S60" s="1242"/>
      <c r="T60" s="1245"/>
      <c r="U60" s="1244"/>
      <c r="V60" s="1244"/>
      <c r="W60" s="1244"/>
      <c r="X60" s="1244"/>
      <c r="Y60" s="1244"/>
      <c r="Z60" s="1244"/>
      <c r="AA60" s="1244"/>
      <c r="AB60" s="1244"/>
      <c r="AC60" s="1244"/>
      <c r="AD60" s="1244"/>
      <c r="AE60" s="1244"/>
      <c r="AF60" s="1244"/>
      <c r="AG60" s="1244"/>
      <c r="AH60" s="1244"/>
      <c r="AI60" s="1244"/>
      <c r="AJ60" s="1244"/>
      <c r="AK60" s="1244"/>
      <c r="AL60" s="1244"/>
      <c r="AM60" s="1244"/>
      <c r="AN60" s="1244"/>
      <c r="AO60" s="1244"/>
      <c r="AP60" s="1244"/>
      <c r="AQ60" s="1244"/>
      <c r="AR60" s="1244"/>
      <c r="AS60" s="1244"/>
      <c r="AT60" s="1244"/>
      <c r="AU60" s="1244"/>
      <c r="AV60" s="1244"/>
      <c r="AW60" s="1244"/>
      <c r="AX60" s="1244"/>
      <c r="AY60" s="1244"/>
      <c r="AZ60" s="1244"/>
      <c r="BA60" s="1244"/>
      <c r="BB60" s="1244"/>
      <c r="BC60" s="1244"/>
      <c r="BE60" s="702"/>
      <c r="BF60" s="702" t="str">
        <f t="shared" si="4"/>
        <v/>
      </c>
      <c r="BG60" s="702"/>
      <c r="BH60" s="702"/>
    </row>
    <row r="61" spans="1:60" s="1559" customFormat="1" ht="0" hidden="1" customHeight="1">
      <c r="A61" s="1262" t="s">
        <v>267</v>
      </c>
      <c r="B61" s="1262" t="s">
        <v>268</v>
      </c>
      <c r="C61" s="1234"/>
      <c r="D61" s="1234"/>
      <c r="E61" s="2077"/>
      <c r="F61" s="2076"/>
      <c r="G61" s="1234"/>
      <c r="H61" s="1234"/>
      <c r="I61" s="1234"/>
      <c r="J61" s="1234"/>
      <c r="K61" s="1234"/>
      <c r="L61" s="1406"/>
      <c r="M61" s="1241"/>
      <c r="N61" s="1241"/>
      <c r="P61" s="1236"/>
      <c r="Q61" s="1237"/>
      <c r="R61" s="1236"/>
      <c r="S61" s="1242"/>
      <c r="T61" s="1245" t="s">
        <v>434</v>
      </c>
      <c r="U61" s="1244"/>
      <c r="V61" s="1244"/>
      <c r="W61" s="1244"/>
      <c r="X61" s="1244"/>
      <c r="Y61" s="1244"/>
      <c r="Z61" s="1244"/>
      <c r="AA61" s="1244"/>
      <c r="AB61" s="1244"/>
      <c r="AC61" s="1244"/>
      <c r="AD61" s="1244"/>
      <c r="AE61" s="1244"/>
      <c r="AF61" s="1244"/>
      <c r="AG61" s="1244"/>
      <c r="AH61" s="1244"/>
      <c r="AI61" s="1244"/>
      <c r="AJ61" s="1244"/>
      <c r="AK61" s="1244"/>
      <c r="AL61" s="1244"/>
      <c r="AM61" s="1244"/>
      <c r="AN61" s="1244"/>
      <c r="AO61" s="1244"/>
      <c r="AP61" s="1244"/>
      <c r="AQ61" s="1244"/>
      <c r="AR61" s="1244"/>
      <c r="AS61" s="1244"/>
      <c r="AT61" s="1244"/>
      <c r="AU61" s="1244"/>
      <c r="AV61" s="1244"/>
      <c r="AW61" s="1244"/>
      <c r="AX61" s="1244"/>
      <c r="AY61" s="1244"/>
      <c r="AZ61" s="1244"/>
      <c r="BA61" s="1244"/>
      <c r="BB61" s="1244"/>
      <c r="BC61" s="1244"/>
      <c r="BE61" s="702"/>
      <c r="BF61" s="702" t="str">
        <f t="shared" si="4"/>
        <v>Добавить централизованную систему для дифференциации</v>
      </c>
      <c r="BG61" s="702"/>
      <c r="BH61" s="702"/>
    </row>
    <row r="62" spans="1:60" s="1559" customFormat="1" ht="0" hidden="1" customHeight="1">
      <c r="A62" s="1262" t="s">
        <v>267</v>
      </c>
      <c r="B62" s="1262"/>
      <c r="C62" s="1262"/>
      <c r="D62" s="1262"/>
      <c r="E62" s="2076"/>
      <c r="F62" s="1262"/>
      <c r="G62" s="1262"/>
      <c r="H62" s="1262"/>
      <c r="I62" s="1262"/>
      <c r="J62" s="1262"/>
      <c r="K62" s="1262"/>
      <c r="L62" s="1265"/>
      <c r="M62" s="1241"/>
      <c r="N62" s="1241"/>
      <c r="O62" s="444"/>
      <c r="P62" s="308"/>
      <c r="Q62" s="1263"/>
      <c r="R62" s="308"/>
      <c r="S62" s="1242"/>
      <c r="T62" s="1245" t="s">
        <v>435</v>
      </c>
      <c r="U62" s="1244"/>
      <c r="V62" s="1244"/>
      <c r="W62" s="1244"/>
      <c r="X62" s="1244"/>
      <c r="Y62" s="1244"/>
      <c r="Z62" s="1244"/>
      <c r="AA62" s="1244"/>
      <c r="AB62" s="1244"/>
      <c r="AC62" s="1244"/>
      <c r="AD62" s="1244"/>
      <c r="AE62" s="1244"/>
      <c r="AF62" s="1244"/>
      <c r="AG62" s="1244"/>
      <c r="AH62" s="1244"/>
      <c r="AI62" s="1244"/>
      <c r="AJ62" s="1244"/>
      <c r="AK62" s="1244"/>
      <c r="AL62" s="1244"/>
      <c r="AM62" s="1244"/>
      <c r="AN62" s="1244"/>
      <c r="AO62" s="1244"/>
      <c r="AP62" s="1244"/>
      <c r="AQ62" s="1244"/>
      <c r="AR62" s="1244"/>
      <c r="AS62" s="1244"/>
      <c r="AT62" s="1244"/>
      <c r="AU62" s="1244"/>
      <c r="AV62" s="1244"/>
      <c r="AW62" s="1244"/>
      <c r="AX62" s="1244"/>
      <c r="AY62" s="1244"/>
      <c r="AZ62" s="1244"/>
      <c r="BA62" s="1244"/>
      <c r="BB62" s="1244"/>
      <c r="BC62" s="1244"/>
      <c r="BE62" s="426"/>
      <c r="BF62" s="426" t="str">
        <f t="shared" si="4"/>
        <v>Добавить территорию для дифференциации</v>
      </c>
      <c r="BG62" s="426"/>
      <c r="BH62" s="426"/>
    </row>
    <row r="63" spans="1:60" s="1559" customFormat="1" ht="0" hidden="1" customHeight="1">
      <c r="A63" s="1234"/>
      <c r="B63" s="1234"/>
      <c r="C63" s="1234"/>
      <c r="D63" s="1234"/>
      <c r="E63" s="1262"/>
      <c r="F63" s="1234"/>
      <c r="G63" s="1234"/>
      <c r="H63" s="1234"/>
      <c r="I63" s="1234"/>
      <c r="J63" s="1234"/>
      <c r="K63" s="1234"/>
      <c r="L63" s="1406"/>
      <c r="M63" s="1241"/>
      <c r="N63" s="1241"/>
      <c r="P63" s="1236"/>
      <c r="Q63" s="1237"/>
      <c r="R63" s="1236"/>
      <c r="S63" s="1242"/>
      <c r="T63" s="1245" t="s">
        <v>436</v>
      </c>
      <c r="U63" s="1244"/>
      <c r="V63" s="1244"/>
      <c r="W63" s="1244"/>
      <c r="X63" s="1244"/>
      <c r="Y63" s="1244"/>
      <c r="Z63" s="1244"/>
      <c r="AA63" s="1244"/>
      <c r="AB63" s="1244"/>
      <c r="AC63" s="1244"/>
      <c r="AD63" s="1244"/>
      <c r="AE63" s="1244"/>
      <c r="AF63" s="1244"/>
      <c r="AG63" s="1244"/>
      <c r="AH63" s="1244"/>
      <c r="AI63" s="1244"/>
      <c r="AJ63" s="1244"/>
      <c r="AK63" s="1244"/>
      <c r="AL63" s="1244"/>
      <c r="AM63" s="1244"/>
      <c r="AN63" s="1244"/>
      <c r="AO63" s="1244"/>
      <c r="AP63" s="1244"/>
      <c r="AQ63" s="1244"/>
      <c r="AR63" s="1244"/>
      <c r="AS63" s="1244"/>
      <c r="AT63" s="1244"/>
      <c r="AU63" s="1244"/>
      <c r="AV63" s="1244"/>
      <c r="AW63" s="1244"/>
      <c r="AX63" s="1244"/>
      <c r="AY63" s="1244"/>
      <c r="AZ63" s="1244"/>
      <c r="BA63" s="1244"/>
      <c r="BB63" s="1244"/>
      <c r="BC63" s="1244"/>
      <c r="BE63" s="702"/>
      <c r="BF63" s="702" t="str">
        <f t="shared" si="4"/>
        <v>Добавить наименование тарифа</v>
      </c>
      <c r="BG63" s="702"/>
      <c r="BH63" s="702"/>
    </row>
    <row r="64" spans="1:60" ht="11.25" hidden="1" customHeight="1">
      <c r="M64" s="1062"/>
      <c r="N64" s="1062"/>
      <c r="O64" s="462"/>
      <c r="P64" s="1062"/>
      <c r="Q64" s="1062"/>
      <c r="R64" s="1057"/>
      <c r="S64" s="1057"/>
      <c r="BD64" s="1057"/>
      <c r="BE64" s="1057"/>
      <c r="BF64" s="1057"/>
      <c r="BG64" s="1057"/>
      <c r="BH64" s="1057"/>
    </row>
    <row r="65" spans="15:55" ht="14.25" hidden="1" customHeight="1">
      <c r="O65" s="462"/>
      <c r="S65" s="1166" t="s">
        <v>508</v>
      </c>
      <c r="T65" s="2075" t="s">
        <v>1711</v>
      </c>
      <c r="U65" s="2075"/>
      <c r="V65" s="2075"/>
      <c r="W65" s="2075"/>
      <c r="X65" s="2075"/>
      <c r="Y65" s="2075"/>
      <c r="Z65" s="2075"/>
      <c r="AA65" s="2075"/>
      <c r="AB65" s="2075"/>
      <c r="AC65" s="2075"/>
      <c r="AD65" s="2075"/>
      <c r="AE65" s="2075"/>
      <c r="AF65" s="2075"/>
      <c r="AG65" s="2075"/>
      <c r="AH65" s="2075"/>
      <c r="AI65" s="2075"/>
      <c r="AJ65" s="2075"/>
      <c r="AK65" s="2075"/>
      <c r="AL65" s="2075"/>
      <c r="AM65" s="2075"/>
      <c r="AN65" s="2075"/>
      <c r="AO65" s="2075"/>
      <c r="AP65" s="2075"/>
      <c r="AQ65" s="2075"/>
      <c r="AR65" s="2075"/>
      <c r="AS65" s="2075"/>
      <c r="AT65" s="2075"/>
      <c r="AU65" s="2075"/>
      <c r="AV65" s="2075"/>
      <c r="AW65" s="2075"/>
      <c r="AX65" s="2075"/>
      <c r="AY65" s="2075"/>
      <c r="AZ65" s="2075"/>
      <c r="BA65" s="2075"/>
      <c r="BB65" s="2075"/>
      <c r="BC65" s="2075"/>
    </row>
    <row r="66" spans="15:55" ht="14.25" hidden="1" customHeight="1">
      <c r="O66" s="462"/>
      <c r="T66" s="1392"/>
      <c r="U66" s="1392"/>
      <c r="V66" s="1392"/>
      <c r="W66" s="1392"/>
      <c r="X66" s="1392"/>
      <c r="Y66" s="1392"/>
      <c r="Z66" s="1392"/>
      <c r="AA66" s="1392"/>
      <c r="AB66" s="1392"/>
      <c r="AC66" s="1392"/>
      <c r="AD66" s="1392"/>
      <c r="AE66" s="1392"/>
      <c r="AF66" s="1392"/>
      <c r="AG66" s="1392"/>
      <c r="AH66" s="1392"/>
      <c r="AI66" s="1392"/>
      <c r="AJ66" s="1392"/>
      <c r="AK66" s="1392"/>
      <c r="AL66" s="1392"/>
      <c r="AM66" s="1392"/>
      <c r="AN66" s="1392"/>
      <c r="AO66" s="1392"/>
      <c r="AP66" s="1392"/>
      <c r="AQ66" s="1392"/>
      <c r="AR66" s="1392"/>
      <c r="AS66" s="1392"/>
      <c r="AT66" s="1392"/>
      <c r="AU66" s="1392"/>
      <c r="AV66" s="1392"/>
      <c r="AW66" s="1392"/>
      <c r="AX66" s="1392"/>
      <c r="AY66" s="1392"/>
      <c r="AZ66" s="1392"/>
      <c r="BA66" s="1392"/>
      <c r="BB66" s="1392"/>
      <c r="BC66" s="1392"/>
    </row>
    <row r="67" spans="15:55" ht="14.25" hidden="1" customHeight="1">
      <c r="O67" s="462"/>
      <c r="S67" s="1166" t="s">
        <v>508</v>
      </c>
      <c r="T67" s="2075" t="s">
        <v>1712</v>
      </c>
      <c r="U67" s="2075"/>
      <c r="V67" s="2075"/>
      <c r="W67" s="2075"/>
      <c r="X67" s="2075"/>
      <c r="Y67" s="2075"/>
      <c r="Z67" s="2075"/>
      <c r="AA67" s="2075"/>
      <c r="AB67" s="2075"/>
      <c r="AC67" s="2075"/>
      <c r="AD67" s="2075"/>
      <c r="AE67" s="2075"/>
      <c r="AF67" s="2075"/>
      <c r="AG67" s="2075"/>
      <c r="AH67" s="2075"/>
      <c r="AI67" s="2075"/>
      <c r="AJ67" s="2075"/>
      <c r="AK67" s="2075"/>
      <c r="AL67" s="2075"/>
      <c r="AM67" s="2075"/>
      <c r="AN67" s="2075"/>
      <c r="AO67" s="2075"/>
      <c r="AP67" s="2075"/>
      <c r="AQ67" s="2075"/>
      <c r="AR67" s="2075"/>
      <c r="AS67" s="2075"/>
      <c r="AT67" s="2075"/>
      <c r="AU67" s="2075"/>
      <c r="AV67" s="2075"/>
      <c r="AW67" s="2075"/>
      <c r="AX67" s="2075"/>
      <c r="AY67" s="2075"/>
      <c r="AZ67" s="2075"/>
      <c r="BA67" s="2075"/>
      <c r="BB67" s="2075"/>
      <c r="BC67" s="2075"/>
    </row>
    <row r="68" spans="15:55" ht="14.25" customHeight="1">
      <c r="O68" s="462"/>
    </row>
  </sheetData>
  <sheetProtection formatColumns="0" formatRows="0" insertRows="0" deleteColumns="0" deleteRows="0" sort="0" autoFilter="0"/>
  <mergeCells count="122">
    <mergeCell ref="E2:E18"/>
    <mergeCell ref="V2:AC2"/>
    <mergeCell ref="AD2:BB2"/>
    <mergeCell ref="F3:F17"/>
    <mergeCell ref="V3:AC3"/>
    <mergeCell ref="AD3:BB3"/>
    <mergeCell ref="G4:G16"/>
    <mergeCell ref="V4:AC4"/>
    <mergeCell ref="AD4:BB4"/>
    <mergeCell ref="H5:H15"/>
    <mergeCell ref="V5:AC5"/>
    <mergeCell ref="AD5:BB5"/>
    <mergeCell ref="I6:I14"/>
    <mergeCell ref="P6:P14"/>
    <mergeCell ref="V6:AC6"/>
    <mergeCell ref="AD6:BB6"/>
    <mergeCell ref="J7:J13"/>
    <mergeCell ref="Q7:Q13"/>
    <mergeCell ref="V7:AC7"/>
    <mergeCell ref="AD7:BB7"/>
    <mergeCell ref="BC8:BC13"/>
    <mergeCell ref="AF8:AF11"/>
    <mergeCell ref="AG8:AG11"/>
    <mergeCell ref="AH8:AH11"/>
    <mergeCell ref="AI8:AI10"/>
    <mergeCell ref="AJ8:AJ10"/>
    <mergeCell ref="AK8:AK10"/>
    <mergeCell ref="K8:K12"/>
    <mergeCell ref="R8:R12"/>
    <mergeCell ref="S8:S12"/>
    <mergeCell ref="T8:T12"/>
    <mergeCell ref="AD8:AD12"/>
    <mergeCell ref="AE8:AE11"/>
    <mergeCell ref="S28:AZ28"/>
    <mergeCell ref="S29:AZ29"/>
    <mergeCell ref="S31:T31"/>
    <mergeCell ref="V31:AB31"/>
    <mergeCell ref="AD31:AZ31"/>
    <mergeCell ref="S32:T32"/>
    <mergeCell ref="V32:AB32"/>
    <mergeCell ref="AD32:AZ32"/>
    <mergeCell ref="AL8:AL10"/>
    <mergeCell ref="AM8:AM9"/>
    <mergeCell ref="AN8:AN9"/>
    <mergeCell ref="AO8:AO9"/>
    <mergeCell ref="AP8:AP9"/>
    <mergeCell ref="S36:T36"/>
    <mergeCell ref="V36:AB36"/>
    <mergeCell ref="AD36:AZ36"/>
    <mergeCell ref="S37:T37"/>
    <mergeCell ref="V37:AB37"/>
    <mergeCell ref="AD37:AZ37"/>
    <mergeCell ref="S33:T33"/>
    <mergeCell ref="V33:AB33"/>
    <mergeCell ref="AD33:AZ33"/>
    <mergeCell ref="S34:T34"/>
    <mergeCell ref="V34:AB34"/>
    <mergeCell ref="AD34:AZ34"/>
    <mergeCell ref="V39:AC39"/>
    <mergeCell ref="AD39:BA39"/>
    <mergeCell ref="S40:BB40"/>
    <mergeCell ref="BC40:BC44"/>
    <mergeCell ref="S41:S44"/>
    <mergeCell ref="T41:T44"/>
    <mergeCell ref="V41:AB41"/>
    <mergeCell ref="AC41:AC44"/>
    <mergeCell ref="AD41:AG44"/>
    <mergeCell ref="AH41:AK44"/>
    <mergeCell ref="AX42:AZ43"/>
    <mergeCell ref="AA44:AB44"/>
    <mergeCell ref="AY44:AZ44"/>
    <mergeCell ref="AA45:AB45"/>
    <mergeCell ref="AY45:AZ45"/>
    <mergeCell ref="E46:E62"/>
    <mergeCell ref="V46:AC46"/>
    <mergeCell ref="AD46:BB46"/>
    <mergeCell ref="F47:F61"/>
    <mergeCell ref="V47:AC47"/>
    <mergeCell ref="AL41:AO44"/>
    <mergeCell ref="AP41:AS44"/>
    <mergeCell ref="AT41:AZ41"/>
    <mergeCell ref="BA41:BA44"/>
    <mergeCell ref="BB41:BB44"/>
    <mergeCell ref="V42:W43"/>
    <mergeCell ref="X42:Y43"/>
    <mergeCell ref="Z42:AB43"/>
    <mergeCell ref="AT42:AU43"/>
    <mergeCell ref="AV42:AW43"/>
    <mergeCell ref="AD47:BB47"/>
    <mergeCell ref="G48:G60"/>
    <mergeCell ref="V48:AC48"/>
    <mergeCell ref="AD48:BB48"/>
    <mergeCell ref="H49:H59"/>
    <mergeCell ref="V49:AC49"/>
    <mergeCell ref="AD49:BB49"/>
    <mergeCell ref="I50:I58"/>
    <mergeCell ref="P50:P58"/>
    <mergeCell ref="V50:AC50"/>
    <mergeCell ref="AD50:BB50"/>
    <mergeCell ref="J51:J57"/>
    <mergeCell ref="Q51:Q57"/>
    <mergeCell ref="V51:AC51"/>
    <mergeCell ref="AD51:BB51"/>
    <mergeCell ref="K52:K56"/>
    <mergeCell ref="S52:S56"/>
    <mergeCell ref="T52:T56"/>
    <mergeCell ref="AD52:AD56"/>
    <mergeCell ref="AE52:AE55"/>
    <mergeCell ref="T65:BC65"/>
    <mergeCell ref="T67:BC67"/>
    <mergeCell ref="AL52:AL54"/>
    <mergeCell ref="AM52:AM53"/>
    <mergeCell ref="AN52:AN53"/>
    <mergeCell ref="AO52:AO53"/>
    <mergeCell ref="AP52:AP53"/>
    <mergeCell ref="BC52:BC57"/>
    <mergeCell ref="AF52:AF55"/>
    <mergeCell ref="AG52:AG55"/>
    <mergeCell ref="AH52:AH55"/>
    <mergeCell ref="AI52:AI54"/>
    <mergeCell ref="AJ52:AJ54"/>
    <mergeCell ref="AK52:AK54"/>
  </mergeCells>
  <dataValidations count="9">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1"/>
  <sheetViews>
    <sheetView showGridLines="0" workbookViewId="0"/>
  </sheetViews>
  <sheetFormatPr defaultRowHeight="11.25" customHeight="1"/>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1"/>
  <sheetViews>
    <sheetView showGridLines="0" workbookViewId="0"/>
  </sheetViews>
  <sheetFormatPr defaultRowHeight="11.25" customHeight="1"/>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1"/>
  <sheetViews>
    <sheetView showGridLines="0" workbookViewId="0"/>
  </sheetViews>
  <sheetFormatPr defaultRowHeight="11.25" customHeight="1"/>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1"/>
  <sheetViews>
    <sheetView showGridLines="0" workbookViewId="0"/>
  </sheetViews>
  <sheetFormatPr defaultRowHeight="11.25" customHeight="1"/>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1"/>
  <sheetViews>
    <sheetView showGridLines="0" workbookViewId="0"/>
  </sheetViews>
  <sheetFormatPr defaultRowHeight="11.25" customHeight="1"/>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1"/>
  <sheetViews>
    <sheetView showGridLines="0" workbookViewId="0"/>
  </sheetViews>
  <sheetFormatPr defaultRowHeight="11.25" customHeight="1"/>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EAEBEE"/>
    <pageSetUpPr fitToPage="1"/>
  </sheetPr>
  <dimension ref="A1:L15"/>
  <sheetViews>
    <sheetView showGridLines="0" topLeftCell="C4" zoomScale="90" workbookViewId="0"/>
  </sheetViews>
  <sheetFormatPr defaultColWidth="9.140625" defaultRowHeight="14.25" customHeight="1"/>
  <cols>
    <col min="1" max="1" width="9.140625" style="298" hidden="1"/>
    <col min="2" max="2" width="9.140625" style="1743" hidden="1"/>
    <col min="3" max="3" width="3.7109375" style="43" customWidth="1"/>
    <col min="4" max="4" width="7" style="1743" customWidth="1"/>
    <col min="5" max="5" width="23.140625" style="1743" customWidth="1"/>
    <col min="6" max="6" width="16" style="1743" customWidth="1"/>
    <col min="7" max="7" width="14.85546875" style="1743" customWidth="1"/>
    <col min="8" max="8" width="47.85546875" style="1743" customWidth="1"/>
    <col min="9" max="9" width="115.7109375" style="1743" customWidth="1"/>
    <col min="10" max="10" width="3.7109375" style="1743" customWidth="1"/>
    <col min="11" max="12" width="9.140625" style="1743"/>
  </cols>
  <sheetData>
    <row r="1" spans="1:12" ht="14.25" hidden="1" customHeight="1"/>
    <row r="2" spans="1:12" ht="14.25" hidden="1" customHeight="1"/>
    <row r="3" spans="1:12" ht="14.25" hidden="1" customHeight="1"/>
    <row r="4" spans="1:12" ht="3" customHeight="1"/>
    <row r="5" spans="1:12" s="1552" customFormat="1" ht="30" customHeight="1">
      <c r="A5" s="41"/>
      <c r="C5" s="19"/>
      <c r="D5" s="1860" t="s">
        <v>2079</v>
      </c>
      <c r="E5" s="1860"/>
      <c r="F5" s="1860"/>
      <c r="G5" s="1860"/>
      <c r="H5" s="1860"/>
      <c r="I5" s="180"/>
    </row>
    <row r="6" spans="1:12" ht="3" hidden="1" customHeight="1">
      <c r="D6" s="45"/>
      <c r="E6" s="45"/>
      <c r="F6" s="45"/>
      <c r="G6" s="45"/>
      <c r="H6" s="45"/>
      <c r="I6" s="45"/>
    </row>
    <row r="7" spans="1:12" s="298" customFormat="1" ht="14.25" customHeight="1">
      <c r="B7" s="42"/>
      <c r="C7" s="43"/>
      <c r="D7" s="46"/>
      <c r="E7" s="46"/>
      <c r="F7" s="46"/>
      <c r="G7" s="46"/>
      <c r="H7" s="666"/>
      <c r="I7" s="46"/>
      <c r="J7" s="47"/>
    </row>
    <row r="8" spans="1:12" ht="14.25" customHeight="1">
      <c r="D8" s="1959" t="s">
        <v>291</v>
      </c>
      <c r="E8" s="1959"/>
      <c r="F8" s="1959"/>
      <c r="G8" s="1959"/>
      <c r="H8" s="1959"/>
      <c r="I8" s="1959" t="s">
        <v>292</v>
      </c>
    </row>
    <row r="9" spans="1:12" ht="27.75" customHeight="1">
      <c r="D9" s="1959" t="s">
        <v>88</v>
      </c>
      <c r="E9" s="1959" t="s">
        <v>2080</v>
      </c>
      <c r="F9" s="1959"/>
      <c r="G9" s="1959"/>
      <c r="H9" s="1959"/>
      <c r="I9" s="1959"/>
    </row>
    <row r="10" spans="1:12" ht="22.5" customHeight="1">
      <c r="D10" s="1959"/>
      <c r="E10" s="50" t="s">
        <v>2081</v>
      </c>
      <c r="F10" s="50" t="s">
        <v>2082</v>
      </c>
      <c r="G10" s="50" t="s">
        <v>2083</v>
      </c>
      <c r="H10" s="50" t="s">
        <v>383</v>
      </c>
      <c r="I10" s="1959"/>
    </row>
    <row r="11" spans="1:12" ht="12" hidden="1" customHeight="1">
      <c r="D11" s="18" t="s">
        <v>109</v>
      </c>
      <c r="E11" s="18" t="s">
        <v>91</v>
      </c>
      <c r="F11" s="18" t="s">
        <v>111</v>
      </c>
      <c r="G11" s="18" t="s">
        <v>92</v>
      </c>
      <c r="H11" s="18" t="s">
        <v>93</v>
      </c>
      <c r="I11" s="18" t="s">
        <v>112</v>
      </c>
    </row>
    <row r="12" spans="1:12" s="1743" customFormat="1" ht="24.75" customHeight="1">
      <c r="A12" s="65" t="s">
        <v>90</v>
      </c>
      <c r="B12" s="48" t="s">
        <v>18</v>
      </c>
      <c r="C12" s="49"/>
      <c r="D12" s="51" t="s">
        <v>109</v>
      </c>
      <c r="E12" s="310"/>
      <c r="F12" s="310"/>
      <c r="G12" s="1650" t="s">
        <v>18</v>
      </c>
      <c r="H12" s="311"/>
      <c r="I12" s="1918" t="s">
        <v>2084</v>
      </c>
      <c r="K12" s="187"/>
      <c r="L12" s="188"/>
    </row>
    <row r="13" spans="1:12" ht="15" customHeight="1">
      <c r="A13" s="44"/>
      <c r="B13" s="44"/>
      <c r="C13" s="44"/>
      <c r="D13" s="36"/>
      <c r="E13" s="53" t="s">
        <v>540</v>
      </c>
      <c r="F13" s="52"/>
      <c r="G13" s="52"/>
      <c r="H13" s="131"/>
      <c r="I13" s="1920"/>
    </row>
    <row r="14" spans="1:12" ht="3" customHeight="1">
      <c r="A14" s="44"/>
      <c r="B14" s="44"/>
      <c r="C14" s="44"/>
    </row>
    <row r="15" spans="1:12" ht="27.75" customHeight="1">
      <c r="E15" s="2239" t="s">
        <v>2085</v>
      </c>
      <c r="F15" s="2239"/>
      <c r="G15" s="2239"/>
      <c r="H15" s="2239"/>
    </row>
  </sheetData>
  <sheetProtection formatColumns="0" formatRows="0" insertRows="0" deleteColumns="0" deleteRows="0" sort="0" autoFilter="0"/>
  <mergeCells count="7">
    <mergeCell ref="E15:H15"/>
    <mergeCell ref="D5:H5"/>
    <mergeCell ref="I12:I13"/>
    <mergeCell ref="D8:H8"/>
    <mergeCell ref="I8:I10"/>
    <mergeCell ref="E9:H9"/>
    <mergeCell ref="D9:D10"/>
  </mergeCells>
  <dataValidations count="3">
    <dataValidation type="textLength" operator="lessThanOrEqual" allowBlank="1" showInputMessage="1" showErrorMessage="1" errorTitle="Ошибка" error="Допускается ввод не более 900 символов!" sqref="E12:F12">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H12">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12"/>
  </dataValidations>
  <printOptions horizontalCentered="1"/>
  <pageMargins left="0.24" right="0.24" top="0.24" bottom="0.24" header="0.24" footer="0.24"/>
  <pageSetup paperSize="9" scale="67" fitToHeight="0" orientation="landscape"/>
  <headerFooter>
    <oddHeader>&amp;L&amp;C&amp;R</oddHeader>
    <oddFooter>&amp;L&amp;C&amp;R</oddFooter>
    <evenHeader>&amp;L&amp;C&amp;R</evenHeader>
    <evenFooter>&amp;L&amp;C&amp;R</evenFooter>
  </headerFooter>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CCFF"/>
    <pageSetUpPr fitToPage="1"/>
  </sheetPr>
  <dimension ref="A1:I15"/>
  <sheetViews>
    <sheetView showGridLines="0" topLeftCell="C6" zoomScale="90" workbookViewId="0"/>
  </sheetViews>
  <sheetFormatPr defaultColWidth="9.140625" defaultRowHeight="14.25" customHeight="1"/>
  <cols>
    <col min="1" max="2" width="9.140625" style="179" hidden="1"/>
    <col min="3" max="3" width="3.7109375" style="20" customWidth="1"/>
    <col min="4" max="4" width="6.28515625" style="179" customWidth="1"/>
    <col min="5" max="5" width="94.85546875" style="179" customWidth="1"/>
    <col min="6" max="9" width="9.140625" style="179"/>
  </cols>
  <sheetData>
    <row r="1" spans="3:9" ht="14.25" hidden="1" customHeight="1"/>
    <row r="2" spans="3:9" ht="14.25" hidden="1" customHeight="1"/>
    <row r="3" spans="3:9" ht="14.25" hidden="1" customHeight="1"/>
    <row r="4" spans="3:9" ht="14.25" hidden="1" customHeight="1"/>
    <row r="5" spans="3:9" ht="14.25" hidden="1" customHeight="1"/>
    <row r="6" spans="3:9" ht="3" customHeight="1">
      <c r="C6" s="21"/>
      <c r="D6" s="3"/>
      <c r="E6" s="3"/>
    </row>
    <row r="7" spans="3:9" ht="22.5" customHeight="1">
      <c r="C7" s="21"/>
      <c r="D7" s="2240" t="s">
        <v>2086</v>
      </c>
      <c r="E7" s="2241"/>
      <c r="F7" s="182"/>
    </row>
    <row r="8" spans="3:9" ht="3" customHeight="1">
      <c r="C8" s="21"/>
      <c r="D8" s="3"/>
      <c r="E8" s="3"/>
    </row>
    <row r="9" spans="3:9" ht="15.75" customHeight="1">
      <c r="C9" s="21"/>
      <c r="D9" s="32" t="s">
        <v>88</v>
      </c>
      <c r="E9" s="175" t="s">
        <v>2087</v>
      </c>
    </row>
    <row r="10" spans="3:9" ht="12" customHeight="1">
      <c r="C10" s="21"/>
      <c r="D10" s="18" t="s">
        <v>109</v>
      </c>
      <c r="E10" s="18" t="s">
        <v>110</v>
      </c>
    </row>
    <row r="11" spans="3:9" ht="11.25" hidden="1" customHeight="1">
      <c r="C11" s="21"/>
      <c r="D11" s="70">
        <v>0</v>
      </c>
      <c r="E11" s="176"/>
    </row>
    <row r="12" spans="3:9" ht="15" customHeight="1">
      <c r="C12" s="58"/>
      <c r="D12" s="39">
        <v>1</v>
      </c>
      <c r="E12" s="303"/>
    </row>
    <row r="13" spans="3:9" ht="12" customHeight="1">
      <c r="C13" s="21"/>
      <c r="D13" s="177"/>
      <c r="E13" s="178" t="s">
        <v>2088</v>
      </c>
    </row>
    <row r="14" spans="3:9" ht="3" customHeight="1"/>
    <row r="15" spans="3:9" ht="22.5" customHeight="1">
      <c r="C15" s="59"/>
      <c r="D15" s="2239" t="s">
        <v>2089</v>
      </c>
      <c r="E15" s="2239"/>
      <c r="F15" s="60"/>
      <c r="G15" s="60"/>
      <c r="H15" s="60"/>
      <c r="I15" s="60"/>
    </row>
  </sheetData>
  <sheetProtection formatColumns="0" formatRows="0" insertRows="0" deleteColumns="0" deleteRows="0" sort="0" autoFilter="0"/>
  <mergeCells count="2">
    <mergeCell ref="D7:E7"/>
    <mergeCell ref="D15:E15"/>
  </mergeCells>
  <dataValidations count="1">
    <dataValidation type="textLength" operator="lessThanOrEqual" allowBlank="1" showInputMessage="1" showErrorMessage="1" errorTitle="Ошибка" error="Допускается ввод не более 900 символов!" sqref="E11:E12">
      <formula1>900</formula1>
    </dataValidation>
  </dataValidations>
  <pageMargins left="0.75" right="0.75" top="1" bottom="1" header="0.5" footer="0.5"/>
  <pageSetup paperSize="9" scale="94" orientation="portrait"/>
  <headerFooter>
    <oddHeader>&amp;L&amp;C&amp;R</oddHeader>
    <oddFooter>&amp;L&amp;C&amp;R</oddFooter>
    <evenHeader>&amp;L&amp;C&amp;R</evenHeader>
    <evenFooter>&amp;L&amp;C&amp;R</evenFooter>
  </headerFooter>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4"/>
  <sheetViews>
    <sheetView showGridLines="0" topLeftCell="C4" zoomScale="90" workbookViewId="0"/>
  </sheetViews>
  <sheetFormatPr defaultColWidth="9.140625" defaultRowHeight="11.25" customHeight="1"/>
  <cols>
    <col min="1" max="2" width="15" style="427" hidden="1" customWidth="1"/>
    <col min="3" max="3" width="3.7109375" style="381" customWidth="1"/>
    <col min="4" max="4" width="6.85546875" style="382" customWidth="1"/>
    <col min="5" max="5" width="52.28515625" style="381" customWidth="1"/>
    <col min="6" max="6" width="48.85546875" style="381" customWidth="1"/>
    <col min="7" max="7" width="93.42578125" style="381" customWidth="1"/>
    <col min="8" max="8" width="9.140625" style="381"/>
    <col min="9" max="9" width="65" style="381" customWidth="1"/>
  </cols>
  <sheetData>
    <row r="1" spans="1:9" ht="11.25" hidden="1" customHeight="1">
      <c r="A1" s="427" t="s">
        <v>290</v>
      </c>
    </row>
    <row r="2" spans="1:9" ht="22.5" hidden="1" customHeight="1">
      <c r="A2" s="428"/>
      <c r="B2" s="428"/>
      <c r="C2" s="383"/>
      <c r="D2" s="1432"/>
      <c r="E2" s="1438"/>
      <c r="F2" s="1468"/>
      <c r="H2" s="401"/>
    </row>
    <row r="3" spans="1:9" ht="11.25" hidden="1" customHeight="1"/>
    <row r="4" spans="1:9" ht="11.25" customHeight="1">
      <c r="A4" s="1469"/>
      <c r="B4" s="1469"/>
    </row>
    <row r="5" spans="1:9" ht="36.75" customHeight="1">
      <c r="D5" s="1867" t="str">
        <f>"Форма 1. Информация об органе регулирования тарифов в сфере "&amp;TEMPLATE_SPHERE_RUS&amp;" (далее – орган регулирования тарифов)"</f>
        <v>Форма 1. Информация об органе регулирования тарифов в сфере холодного водоснабжения (далее – орган регулирования тарифов)</v>
      </c>
      <c r="E5" s="1868"/>
      <c r="F5" s="1869"/>
      <c r="I5" s="630"/>
    </row>
    <row r="6" spans="1:9" ht="17.25" customHeight="1">
      <c r="D6" s="1961" t="str">
        <f>IF(region_name=0,"Не определено",region_name)</f>
        <v>Белгородская область</v>
      </c>
      <c r="E6" s="1961"/>
      <c r="F6" s="1961"/>
      <c r="I6" s="630"/>
    </row>
    <row r="7" spans="1:9" s="403" customFormat="1" ht="11.25" customHeight="1">
      <c r="A7" s="427"/>
      <c r="B7" s="427"/>
      <c r="D7" s="629"/>
      <c r="E7" s="629"/>
      <c r="F7" s="666"/>
      <c r="G7" s="629"/>
    </row>
    <row r="8" spans="1:9" ht="11.25" hidden="1" customHeight="1">
      <c r="A8" s="428"/>
      <c r="B8" s="428"/>
      <c r="C8" s="383"/>
      <c r="D8" s="389"/>
      <c r="E8" s="1957"/>
      <c r="F8" s="1957"/>
    </row>
    <row r="9" spans="1:9" ht="11.25" customHeight="1">
      <c r="A9" s="428"/>
      <c r="B9" s="428"/>
      <c r="C9" s="383"/>
      <c r="D9" s="1953" t="s">
        <v>291</v>
      </c>
      <c r="E9" s="1954"/>
      <c r="F9" s="1954"/>
      <c r="G9" s="1958" t="s">
        <v>292</v>
      </c>
    </row>
    <row r="10" spans="1:9" ht="11.25" customHeight="1">
      <c r="A10" s="428"/>
      <c r="B10" s="428"/>
      <c r="C10" s="383"/>
      <c r="D10" s="1386" t="s">
        <v>88</v>
      </c>
      <c r="E10" s="1388" t="s">
        <v>293</v>
      </c>
      <c r="F10" s="1388" t="s">
        <v>294</v>
      </c>
      <c r="G10" s="1959"/>
    </row>
    <row r="11" spans="1:9" ht="12" customHeight="1">
      <c r="A11" s="428"/>
      <c r="B11" s="428"/>
      <c r="C11" s="383"/>
      <c r="D11" s="390"/>
      <c r="E11" s="390"/>
      <c r="F11" s="390"/>
      <c r="G11" s="390"/>
    </row>
    <row r="12" spans="1:9" ht="22.5" customHeight="1">
      <c r="A12" s="428"/>
      <c r="B12" s="428"/>
      <c r="C12" s="383"/>
      <c r="D12" s="1432">
        <v>1</v>
      </c>
      <c r="E12" s="400" t="s">
        <v>2090</v>
      </c>
      <c r="F12" s="1780" t="str">
        <f>IF(org="","",org)</f>
        <v>АО СЗ "КМАпроектжилстрой"</v>
      </c>
      <c r="G12" s="400" t="s">
        <v>2091</v>
      </c>
      <c r="H12" s="1445"/>
    </row>
    <row r="13" spans="1:9" ht="18.75" customHeight="1">
      <c r="A13" s="428"/>
      <c r="B13" s="428"/>
      <c r="C13" s="383"/>
      <c r="D13" s="1432">
        <v>2</v>
      </c>
      <c r="E13" s="1439" t="s">
        <v>2092</v>
      </c>
      <c r="F13" s="1433" t="s">
        <v>297</v>
      </c>
      <c r="G13" s="400"/>
      <c r="H13" s="1445"/>
    </row>
    <row r="14" spans="1:9" ht="18.75" customHeight="1">
      <c r="A14" s="428"/>
      <c r="B14" s="428"/>
      <c r="C14" s="383"/>
      <c r="D14" s="1435" t="s">
        <v>454</v>
      </c>
      <c r="E14" s="1436" t="s">
        <v>2093</v>
      </c>
      <c r="F14" s="1438"/>
      <c r="G14" s="1437" t="s">
        <v>2094</v>
      </c>
      <c r="H14" s="1445"/>
    </row>
    <row r="15" spans="1:9" ht="18.75" customHeight="1">
      <c r="A15" s="428"/>
      <c r="B15" s="428"/>
      <c r="C15" s="383"/>
      <c r="D15" s="1435" t="s">
        <v>298</v>
      </c>
      <c r="E15" s="1436" t="s">
        <v>2095</v>
      </c>
      <c r="F15" s="1438"/>
      <c r="G15" s="1437" t="s">
        <v>2096</v>
      </c>
      <c r="H15" s="1445"/>
    </row>
    <row r="16" spans="1:9" ht="36.75" customHeight="1">
      <c r="A16" s="428"/>
      <c r="B16" s="428"/>
      <c r="C16" s="383"/>
      <c r="D16" s="1435" t="s">
        <v>301</v>
      </c>
      <c r="E16" s="1434" t="s">
        <v>2097</v>
      </c>
      <c r="F16" s="1443"/>
      <c r="G16" s="400" t="s">
        <v>2098</v>
      </c>
      <c r="H16" s="1445"/>
    </row>
    <row r="17" spans="1:9" ht="45" customHeight="1">
      <c r="A17" s="428"/>
      <c r="B17" s="428"/>
      <c r="C17" s="383"/>
      <c r="D17" s="1432">
        <v>3</v>
      </c>
      <c r="E17" s="1439" t="s">
        <v>2099</v>
      </c>
      <c r="F17" s="1438"/>
      <c r="G17" s="400" t="s">
        <v>2100</v>
      </c>
      <c r="H17" s="1445"/>
    </row>
    <row r="18" spans="1:9" ht="45" customHeight="1">
      <c r="A18" s="1387">
        <v>1</v>
      </c>
      <c r="B18" s="428"/>
      <c r="C18" s="1389"/>
      <c r="D18" s="1432" t="s">
        <v>91</v>
      </c>
      <c r="E18" s="1439" t="s">
        <v>2101</v>
      </c>
      <c r="F18" s="1438"/>
      <c r="G18" s="400" t="s">
        <v>2100</v>
      </c>
      <c r="H18" s="1445"/>
      <c r="I18" s="765"/>
    </row>
    <row r="19" spans="1:9" ht="22.5" customHeight="1">
      <c r="A19" s="428"/>
      <c r="B19" s="428"/>
      <c r="C19" s="383"/>
      <c r="D19" s="1432" t="s">
        <v>111</v>
      </c>
      <c r="E19" s="1439" t="s">
        <v>2102</v>
      </c>
      <c r="F19" s="1433" t="s">
        <v>297</v>
      </c>
      <c r="G19" s="2242" t="s">
        <v>2103</v>
      </c>
      <c r="H19" s="401"/>
    </row>
    <row r="20" spans="1:9" s="1442" customFormat="1" ht="5.25" hidden="1" customHeight="1">
      <c r="A20" s="428"/>
      <c r="B20" s="428"/>
      <c r="C20" s="1441"/>
      <c r="D20" s="1440" t="s">
        <v>1638</v>
      </c>
      <c r="E20" s="922"/>
      <c r="F20" s="921"/>
      <c r="G20" s="2243"/>
    </row>
    <row r="21" spans="1:9" ht="15" customHeight="1">
      <c r="A21" s="428"/>
      <c r="B21" s="428"/>
      <c r="C21" s="383"/>
      <c r="D21" s="393"/>
      <c r="E21" s="345" t="s">
        <v>332</v>
      </c>
      <c r="F21" s="395"/>
      <c r="G21" s="2244"/>
      <c r="H21" s="1445"/>
    </row>
    <row r="22" spans="1:9" s="427" customFormat="1" ht="24.75" customHeight="1">
      <c r="A22" s="428"/>
      <c r="B22" s="428"/>
      <c r="C22" s="428"/>
      <c r="D22" s="1432" t="s">
        <v>92</v>
      </c>
      <c r="E22" s="400" t="s">
        <v>2104</v>
      </c>
      <c r="F22" s="1438"/>
      <c r="G22" s="400" t="s">
        <v>2105</v>
      </c>
      <c r="H22" s="1444"/>
    </row>
    <row r="23" spans="1:9" s="427" customFormat="1" ht="18.75" customHeight="1">
      <c r="A23" s="428"/>
      <c r="B23" s="428"/>
      <c r="C23" s="428"/>
      <c r="D23" s="1432" t="s">
        <v>93</v>
      </c>
      <c r="E23" s="1439" t="s">
        <v>2106</v>
      </c>
      <c r="F23" s="1443"/>
      <c r="G23" s="400" t="s">
        <v>2107</v>
      </c>
      <c r="H23" s="1444"/>
    </row>
    <row r="24" spans="1:9" ht="11.25" customHeight="1">
      <c r="A24" s="428"/>
      <c r="B24" s="428"/>
      <c r="C24" s="383"/>
    </row>
  </sheetData>
  <sheetProtection formatColumns="0" formatRows="0" insertRows="0" deleteColumns="0" deleteRows="0" sort="0" autoFilter="0"/>
  <mergeCells count="6">
    <mergeCell ref="G19:G21"/>
    <mergeCell ref="D5:F5"/>
    <mergeCell ref="D6:F6"/>
    <mergeCell ref="E8:F8"/>
    <mergeCell ref="D9:F9"/>
    <mergeCell ref="G9:G10"/>
  </mergeCells>
  <dataValidations count="1">
    <dataValidation type="textLength" operator="lessThanOrEqual" allowBlank="1" showInputMessage="1" showErrorMessage="1" errorTitle="Ошибка" error="Допускается ввод не более 900 символов!" sqref="F12 F14:F18 F22:F23">
      <formula1>900</formula1>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T23"/>
  <sheetViews>
    <sheetView showGridLines="0" topLeftCell="D4" zoomScale="90" workbookViewId="0"/>
  </sheetViews>
  <sheetFormatPr defaultColWidth="9.140625" defaultRowHeight="14.25" customHeight="1"/>
  <cols>
    <col min="1" max="1" width="9.140625" style="1552" hidden="1"/>
    <col min="2" max="2" width="9.140625" style="1284" hidden="1"/>
    <col min="3" max="3" width="3.7109375" style="1552" hidden="1" customWidth="1"/>
    <col min="4" max="4" width="3.85546875" style="1762" customWidth="1"/>
    <col min="5" max="5" width="6.28515625" style="1552" customWidth="1"/>
    <col min="6" max="6" width="46.7109375" style="1552" customWidth="1"/>
    <col min="7" max="8" width="16.7109375" style="1552" customWidth="1"/>
    <col min="9" max="9" width="35.28515625" style="1552" customWidth="1"/>
    <col min="10" max="10" width="89.5703125" style="1552" customWidth="1"/>
    <col min="11" max="11" width="3.7109375" style="1541" customWidth="1"/>
    <col min="12" max="14" width="9.140625" style="1541"/>
    <col min="15" max="15" width="25.7109375" style="1541" customWidth="1"/>
    <col min="16" max="16" width="14.42578125" style="1541" customWidth="1"/>
    <col min="17" max="20" width="9.140625" style="142"/>
    <col min="21" max="254" width="9.140625" style="1552"/>
  </cols>
  <sheetData>
    <row r="1" spans="1:254" ht="14.25" hidden="1" customHeight="1"/>
    <row r="2" spans="1:254" s="1807" customFormat="1" ht="22.5" hidden="1" customHeight="1">
      <c r="A2" s="744"/>
      <c r="B2" s="1062">
        <v>1</v>
      </c>
      <c r="C2" s="1062"/>
      <c r="D2" s="714"/>
      <c r="E2" s="1396"/>
      <c r="F2" s="1403"/>
      <c r="G2" s="1403"/>
      <c r="H2" s="1403"/>
      <c r="I2" s="1450"/>
      <c r="J2" s="145"/>
      <c r="K2" s="1447" t="e">
        <f ca="1">MERGEVALUE(F2)</f>
        <v>#NAME?</v>
      </c>
      <c r="L2" s="437"/>
      <c r="M2" s="437"/>
      <c r="N2" s="426" t="str">
        <f t="array" ref="N2">IF(ISERROR(MATCH(MID(O2,1,250),MID(note_ter,1,250),0)),"n","y")</f>
        <v>n</v>
      </c>
      <c r="O2" s="437"/>
      <c r="P2" s="426" t="str">
        <f>G2&amp;"("&amp;J2&amp;")"</f>
        <v>()</v>
      </c>
      <c r="Q2" s="1062"/>
      <c r="R2" s="1062"/>
      <c r="S2" s="349"/>
      <c r="T2" s="1062"/>
      <c r="U2" s="1062"/>
      <c r="V2" s="1062"/>
      <c r="W2" s="351"/>
      <c r="X2" s="351"/>
      <c r="Y2" s="348"/>
      <c r="Z2" s="348"/>
      <c r="AA2" s="348"/>
      <c r="AB2" s="348"/>
      <c r="AC2" s="348"/>
      <c r="AD2" s="348"/>
      <c r="AE2" s="348"/>
      <c r="AF2" s="348"/>
      <c r="AG2" s="348"/>
      <c r="AH2" s="348"/>
      <c r="AI2" s="348"/>
      <c r="AJ2" s="348"/>
      <c r="AK2" s="348"/>
      <c r="AL2" s="348"/>
      <c r="AM2" s="348"/>
      <c r="AN2" s="348"/>
      <c r="AO2" s="348"/>
      <c r="AP2" s="348"/>
      <c r="AQ2" s="348"/>
      <c r="AR2" s="348"/>
      <c r="AS2" s="348"/>
      <c r="AT2" s="348"/>
      <c r="AU2" s="348"/>
      <c r="AV2" s="348"/>
      <c r="AW2" s="348"/>
      <c r="AX2" s="348"/>
      <c r="AY2" s="348"/>
      <c r="AZ2" s="348"/>
      <c r="BA2" s="348"/>
      <c r="BB2" s="348"/>
      <c r="BC2" s="348"/>
      <c r="BD2" s="348"/>
      <c r="BE2" s="348"/>
      <c r="BF2" s="348"/>
      <c r="BG2" s="348"/>
      <c r="BH2" s="348"/>
      <c r="BI2" s="348"/>
      <c r="BJ2" s="348"/>
      <c r="BK2" s="348"/>
      <c r="BL2" s="348"/>
      <c r="BM2" s="348"/>
      <c r="BN2" s="348"/>
      <c r="BO2" s="348"/>
      <c r="BP2" s="348"/>
      <c r="BQ2" s="348"/>
      <c r="BR2" s="348"/>
      <c r="BS2" s="348"/>
      <c r="BT2" s="351"/>
      <c r="BU2" s="351"/>
      <c r="BV2" s="351"/>
      <c r="BW2" s="351"/>
      <c r="BX2" s="351"/>
      <c r="BY2" s="351"/>
      <c r="BZ2" s="351"/>
      <c r="CA2" s="351"/>
      <c r="CB2" s="351"/>
      <c r="CC2" s="351"/>
    </row>
    <row r="3" spans="1:254" s="1559" customFormat="1" ht="5.25" hidden="1" customHeight="1">
      <c r="A3" s="422"/>
      <c r="D3" s="420"/>
      <c r="F3" s="162" t="s">
        <v>83</v>
      </c>
      <c r="G3" s="420" t="s">
        <v>84</v>
      </c>
      <c r="H3" s="420"/>
      <c r="I3" s="420"/>
      <c r="J3" s="144" t="s">
        <v>85</v>
      </c>
      <c r="K3" s="162" t="s">
        <v>83</v>
      </c>
      <c r="L3" s="162"/>
      <c r="M3" s="162"/>
      <c r="N3" s="162"/>
      <c r="O3" s="163"/>
      <c r="P3" s="162"/>
      <c r="Q3" s="162"/>
      <c r="R3" s="162"/>
      <c r="S3" s="162"/>
      <c r="T3" s="162"/>
      <c r="U3" s="144"/>
      <c r="V3" s="144"/>
      <c r="W3" s="144"/>
      <c r="X3" s="144"/>
      <c r="Y3" s="144"/>
      <c r="Z3" s="144"/>
      <c r="AA3" s="144"/>
      <c r="AB3" s="144"/>
      <c r="AC3" s="144"/>
      <c r="AD3" s="144"/>
      <c r="AE3" s="144"/>
      <c r="AF3" s="144"/>
      <c r="AG3" s="144"/>
      <c r="AH3" s="144"/>
      <c r="AI3" s="144"/>
      <c r="AJ3" s="144"/>
      <c r="AK3" s="144"/>
      <c r="AL3" s="144"/>
      <c r="AM3" s="144"/>
      <c r="AN3" s="144"/>
      <c r="AO3" s="144"/>
      <c r="AP3" s="144"/>
      <c r="AQ3" s="144"/>
      <c r="AR3" s="144"/>
      <c r="AS3" s="144"/>
      <c r="AT3" s="144"/>
      <c r="AU3" s="144"/>
      <c r="AV3" s="144"/>
      <c r="AW3" s="144"/>
      <c r="AX3" s="144"/>
      <c r="AY3" s="144"/>
      <c r="AZ3" s="144"/>
      <c r="BA3" s="144"/>
      <c r="BB3" s="144"/>
      <c r="BC3" s="144"/>
      <c r="BD3" s="144"/>
      <c r="BE3" s="144"/>
      <c r="BF3" s="144"/>
      <c r="BG3" s="144"/>
      <c r="BH3" s="144"/>
      <c r="BI3" s="144"/>
      <c r="BJ3" s="144"/>
      <c r="BK3" s="144"/>
      <c r="BL3" s="144"/>
      <c r="BM3" s="144"/>
      <c r="BN3" s="144"/>
      <c r="BO3" s="144"/>
      <c r="BP3" s="144"/>
      <c r="BQ3" s="144"/>
      <c r="BR3" s="144"/>
      <c r="BS3" s="144"/>
      <c r="BT3" s="144"/>
      <c r="BU3" s="144"/>
      <c r="BV3" s="144"/>
      <c r="BW3" s="144"/>
      <c r="BX3" s="144"/>
      <c r="BY3" s="144"/>
      <c r="BZ3" s="144"/>
      <c r="CA3" s="144"/>
      <c r="CB3" s="144"/>
      <c r="CC3" s="144"/>
      <c r="CD3" s="144"/>
      <c r="CE3" s="144"/>
      <c r="CF3" s="144"/>
      <c r="CG3" s="144"/>
      <c r="CH3" s="144"/>
      <c r="CI3" s="144"/>
      <c r="CJ3" s="144"/>
      <c r="CK3" s="144"/>
      <c r="CL3" s="144"/>
      <c r="CM3" s="144"/>
      <c r="CN3" s="144"/>
      <c r="CO3" s="144"/>
      <c r="CP3" s="144"/>
      <c r="CQ3" s="144"/>
      <c r="CR3" s="144"/>
      <c r="CS3" s="144"/>
      <c r="CT3" s="144"/>
      <c r="CU3" s="144"/>
      <c r="CV3" s="144"/>
      <c r="CW3" s="144"/>
      <c r="CX3" s="144"/>
      <c r="CY3" s="144"/>
      <c r="CZ3" s="144"/>
      <c r="DA3" s="144"/>
      <c r="DB3" s="144"/>
      <c r="DC3" s="144"/>
      <c r="DD3" s="144"/>
      <c r="DE3" s="144"/>
      <c r="DF3" s="144"/>
      <c r="DG3" s="144"/>
      <c r="DH3" s="144"/>
      <c r="DI3" s="144"/>
      <c r="DJ3" s="144"/>
      <c r="DK3" s="144"/>
      <c r="DL3" s="144"/>
      <c r="DM3" s="144"/>
      <c r="DN3" s="144"/>
      <c r="DO3" s="144"/>
      <c r="DP3" s="144"/>
      <c r="DQ3" s="144"/>
      <c r="DR3" s="144"/>
      <c r="DS3" s="144"/>
      <c r="DT3" s="144"/>
      <c r="DU3" s="144"/>
      <c r="DV3" s="144"/>
      <c r="DW3" s="144"/>
      <c r="DX3" s="144"/>
      <c r="DY3" s="144"/>
      <c r="DZ3" s="144"/>
      <c r="EA3" s="144"/>
      <c r="EB3" s="144"/>
      <c r="EC3" s="144"/>
      <c r="ED3" s="144"/>
      <c r="EE3" s="144"/>
      <c r="EF3" s="144"/>
      <c r="EG3" s="144"/>
      <c r="EH3" s="144"/>
      <c r="EI3" s="144"/>
      <c r="EJ3" s="144"/>
      <c r="EK3" s="144"/>
      <c r="EL3" s="144"/>
      <c r="EM3" s="144"/>
      <c r="EN3" s="144"/>
      <c r="EO3" s="144"/>
      <c r="EP3" s="144"/>
      <c r="EQ3" s="144"/>
      <c r="ER3" s="144"/>
      <c r="ES3" s="144"/>
      <c r="ET3" s="144"/>
      <c r="EU3" s="144"/>
      <c r="EV3" s="144"/>
      <c r="EW3" s="144"/>
      <c r="EX3" s="144"/>
      <c r="EY3" s="144"/>
      <c r="EZ3" s="144"/>
      <c r="FA3" s="144"/>
      <c r="FB3" s="144"/>
      <c r="FC3" s="144"/>
      <c r="FD3" s="144"/>
      <c r="FE3" s="144"/>
      <c r="FF3" s="144"/>
      <c r="FG3" s="144"/>
      <c r="FH3" s="144"/>
      <c r="FI3" s="144"/>
      <c r="FJ3" s="144"/>
      <c r="FK3" s="144"/>
      <c r="FL3" s="144"/>
      <c r="FM3" s="144"/>
      <c r="FN3" s="144"/>
      <c r="FO3" s="144"/>
      <c r="FP3" s="144"/>
      <c r="FQ3" s="144"/>
      <c r="FR3" s="144"/>
      <c r="FS3" s="144"/>
      <c r="FT3" s="144"/>
      <c r="FU3" s="144"/>
      <c r="FV3" s="144"/>
      <c r="FW3" s="144"/>
      <c r="FX3" s="144"/>
      <c r="FY3" s="144"/>
      <c r="FZ3" s="144"/>
      <c r="GA3" s="144"/>
      <c r="GB3" s="144"/>
      <c r="GC3" s="144"/>
      <c r="GD3" s="144"/>
      <c r="GE3" s="144"/>
      <c r="GF3" s="144"/>
      <c r="GG3" s="144"/>
      <c r="GH3" s="144"/>
      <c r="GI3" s="144"/>
      <c r="GJ3" s="144"/>
      <c r="GK3" s="144"/>
      <c r="GL3" s="144"/>
      <c r="GM3" s="144"/>
      <c r="GN3" s="144"/>
      <c r="GO3" s="144"/>
      <c r="GP3" s="144"/>
      <c r="GQ3" s="144"/>
      <c r="GR3" s="144"/>
      <c r="GS3" s="144"/>
      <c r="GT3" s="144"/>
      <c r="GU3" s="144"/>
      <c r="GV3" s="144"/>
      <c r="GW3" s="144"/>
      <c r="GX3" s="144"/>
      <c r="GY3" s="144"/>
      <c r="GZ3" s="144"/>
      <c r="HA3" s="144"/>
      <c r="HB3" s="144"/>
      <c r="HC3" s="144"/>
      <c r="HD3" s="144"/>
      <c r="HE3" s="144"/>
      <c r="HF3" s="144"/>
      <c r="HG3" s="144"/>
      <c r="HH3" s="144"/>
      <c r="HI3" s="144"/>
      <c r="HJ3" s="144"/>
      <c r="HK3" s="144"/>
      <c r="HL3" s="144"/>
      <c r="HM3" s="144"/>
      <c r="HN3" s="144"/>
      <c r="HO3" s="144"/>
      <c r="HP3" s="144"/>
      <c r="HQ3" s="144"/>
      <c r="HR3" s="144"/>
      <c r="HS3" s="144"/>
      <c r="HT3" s="144"/>
      <c r="HU3" s="144"/>
      <c r="HV3" s="144"/>
      <c r="HW3" s="144"/>
      <c r="HX3" s="144"/>
      <c r="HY3" s="144"/>
      <c r="HZ3" s="144"/>
      <c r="IA3" s="144"/>
      <c r="IB3" s="144"/>
      <c r="IC3" s="144"/>
      <c r="ID3" s="144"/>
      <c r="IE3" s="144"/>
      <c r="IF3" s="144"/>
      <c r="IG3" s="144"/>
      <c r="IH3" s="144"/>
      <c r="II3" s="144"/>
      <c r="IJ3" s="144"/>
      <c r="IK3" s="144"/>
      <c r="IL3" s="144"/>
      <c r="IM3" s="144"/>
      <c r="IN3" s="144"/>
      <c r="IO3" s="144"/>
      <c r="IP3" s="144"/>
      <c r="IQ3" s="144"/>
      <c r="IR3" s="144"/>
      <c r="IS3" s="144"/>
      <c r="IT3" s="144"/>
    </row>
    <row r="4" spans="1:254" s="1740" customFormat="1" ht="14.25" customHeight="1">
      <c r="A4" s="1057"/>
      <c r="B4" s="1062"/>
      <c r="C4" s="1057"/>
      <c r="D4" s="1407"/>
      <c r="E4" s="435"/>
      <c r="F4" s="435"/>
      <c r="G4" s="435"/>
      <c r="H4" s="435"/>
      <c r="I4" s="435"/>
      <c r="J4" s="84"/>
      <c r="K4" s="162"/>
      <c r="L4" s="426"/>
      <c r="M4" s="426"/>
      <c r="N4" s="426"/>
      <c r="O4" s="143"/>
      <c r="P4" s="426"/>
      <c r="Q4" s="142"/>
      <c r="R4" s="142"/>
      <c r="S4" s="142"/>
      <c r="T4" s="142"/>
    </row>
    <row r="5" spans="1:254" s="1740" customFormat="1" ht="25.5" customHeight="1">
      <c r="A5" s="1057"/>
      <c r="B5" s="1062"/>
      <c r="C5" s="1057"/>
      <c r="D5" s="1407"/>
      <c r="E5" s="1860" t="str">
        <f>"Форма 2. Перечень "&amp;IF(TEMPLATE_SPHERE="HEAT","регулируемых организаций (единых теплоснабжающих организаций в ценовых зонах теплоснабжения, теплоснабжающих организаций в ценовых зонах теплоснабжения и теплосетевых организаций в ценовых зонах теплоснабжения)","организаций, в отношении которых орган регулирования тарифов осуществляет регулирование тарифов в сфере "&amp;TEMPLATE_SPHERE_RUS)</f>
        <v>Форма 2. Перечень организаций, в отношении которых орган регулирования тарифов осуществляет регулирование тарифов в сфере холодного водоснабжения</v>
      </c>
      <c r="F5" s="1860"/>
      <c r="G5" s="1860"/>
      <c r="H5" s="1860"/>
      <c r="I5" s="1860"/>
      <c r="J5" s="1860"/>
      <c r="K5" s="162"/>
      <c r="L5" s="426"/>
      <c r="M5" s="426"/>
      <c r="N5" s="426"/>
      <c r="O5" s="143"/>
      <c r="P5" s="426"/>
      <c r="Q5" s="142"/>
      <c r="R5" s="142"/>
      <c r="S5" s="142"/>
      <c r="T5" s="142"/>
    </row>
    <row r="6" spans="1:254" s="1740" customFormat="1" ht="14.25" customHeight="1">
      <c r="A6" s="1057"/>
      <c r="B6" s="1062"/>
      <c r="C6" s="1057"/>
      <c r="D6" s="1407"/>
      <c r="E6" s="435"/>
      <c r="F6" s="85"/>
      <c r="G6" s="85"/>
      <c r="H6" s="85"/>
      <c r="I6" s="85"/>
      <c r="J6" s="86"/>
      <c r="K6" s="426"/>
      <c r="L6" s="426"/>
      <c r="M6" s="426"/>
      <c r="N6" s="426"/>
      <c r="O6" s="143"/>
      <c r="P6" s="426"/>
      <c r="Q6" s="142"/>
      <c r="R6" s="142"/>
      <c r="S6" s="142"/>
      <c r="T6" s="142"/>
    </row>
    <row r="7" spans="1:254" s="1740" customFormat="1" ht="14.25" customHeight="1">
      <c r="A7" s="1057"/>
      <c r="B7" s="1062"/>
      <c r="C7" s="1057"/>
      <c r="D7" s="1407"/>
      <c r="E7" s="1856" t="s">
        <v>291</v>
      </c>
      <c r="F7" s="1861"/>
      <c r="G7" s="1861"/>
      <c r="H7" s="1861"/>
      <c r="I7" s="1861"/>
      <c r="J7" s="2245" t="s">
        <v>292</v>
      </c>
      <c r="K7" s="426"/>
      <c r="L7" s="426"/>
      <c r="M7" s="426"/>
      <c r="N7" s="426"/>
      <c r="O7" s="143"/>
      <c r="P7" s="426"/>
      <c r="Q7" s="142"/>
      <c r="R7" s="142"/>
      <c r="S7" s="142"/>
      <c r="T7" s="142"/>
    </row>
    <row r="8" spans="1:254" s="1740" customFormat="1" ht="20.25" customHeight="1">
      <c r="A8" s="1057"/>
      <c r="B8" s="1062"/>
      <c r="C8" s="1057"/>
      <c r="D8" s="1407"/>
      <c r="E8" s="1467" t="s">
        <v>88</v>
      </c>
      <c r="F8" s="1452" t="s">
        <v>2108</v>
      </c>
      <c r="G8" s="1452" t="s">
        <v>49</v>
      </c>
      <c r="H8" s="1452" t="s">
        <v>51</v>
      </c>
      <c r="I8" s="1452" t="s">
        <v>2109</v>
      </c>
      <c r="J8" s="2246"/>
      <c r="K8" s="426"/>
      <c r="L8" s="426"/>
      <c r="M8" s="426"/>
      <c r="N8" s="426"/>
      <c r="O8" s="143"/>
      <c r="P8" s="426"/>
      <c r="Q8" s="142"/>
      <c r="R8" s="142"/>
      <c r="S8" s="142"/>
      <c r="T8" s="142"/>
    </row>
    <row r="9" spans="1:254" s="1807" customFormat="1" ht="22.5" customHeight="1">
      <c r="A9" s="1859"/>
      <c r="B9" s="1062">
        <v>1</v>
      </c>
      <c r="C9" s="1062"/>
      <c r="D9" s="714"/>
      <c r="E9" s="1396">
        <v>1</v>
      </c>
      <c r="F9" s="1466"/>
      <c r="G9" s="1403"/>
      <c r="H9" s="1403"/>
      <c r="I9" s="1450"/>
      <c r="J9" s="2247" t="s">
        <v>2110</v>
      </c>
      <c r="K9" s="1447" t="e">
        <f ca="1">MERGEVALUE(F9)</f>
        <v>#NAME?</v>
      </c>
      <c r="L9" s="437"/>
      <c r="M9" s="437"/>
      <c r="N9" s="426" t="str">
        <f t="array" ref="N9">IF(ISERROR(MATCH(MID(O9,1,250),MID(note_ter,1,250),0)),"n","y")</f>
        <v>n</v>
      </c>
      <c r="O9" s="437"/>
      <c r="P9" s="426" t="str">
        <f>G9&amp;"("&amp;J9&amp;")"</f>
        <v>(Значение в поле «Наименование организации» содержит наименование юридического лица согласно уставу организации._x000D_
Значение в поле «ИНН» содержит идентификационный номер налогоплательщика._x000D_
Значение в поле «КПП» содержит код постановки на учёт._x000D_
Значение в поле «ОГРН (ОГРНИП)» содержит основной государственный регистрационный номер юридического лица (индивидуального предпринимателя).)</v>
      </c>
      <c r="Q9" s="1062"/>
      <c r="R9" s="1062"/>
      <c r="S9" s="349"/>
      <c r="T9" s="1062"/>
      <c r="U9" s="1062"/>
      <c r="V9" s="1062"/>
      <c r="W9" s="351"/>
      <c r="X9" s="351"/>
      <c r="Y9" s="348"/>
      <c r="Z9" s="348"/>
      <c r="AA9" s="348"/>
      <c r="AB9" s="348"/>
      <c r="AC9" s="348"/>
      <c r="AD9" s="348"/>
      <c r="AE9" s="348"/>
      <c r="AF9" s="348"/>
      <c r="AG9" s="348"/>
      <c r="AH9" s="348"/>
      <c r="AI9" s="348"/>
      <c r="AJ9" s="348"/>
      <c r="AK9" s="348"/>
      <c r="AL9" s="348"/>
      <c r="AM9" s="348"/>
      <c r="AN9" s="348"/>
      <c r="AO9" s="348"/>
      <c r="AP9" s="348"/>
      <c r="AQ9" s="348"/>
      <c r="AR9" s="348"/>
      <c r="AS9" s="348"/>
      <c r="AT9" s="348"/>
      <c r="AU9" s="348"/>
      <c r="AV9" s="348"/>
      <c r="AW9" s="348"/>
      <c r="AX9" s="348"/>
      <c r="AY9" s="348"/>
      <c r="AZ9" s="348"/>
      <c r="BA9" s="348"/>
      <c r="BB9" s="348"/>
      <c r="BC9" s="348"/>
      <c r="BD9" s="348"/>
      <c r="BE9" s="348"/>
      <c r="BF9" s="348"/>
      <c r="BG9" s="348"/>
      <c r="BH9" s="348"/>
      <c r="BI9" s="348"/>
      <c r="BJ9" s="348"/>
      <c r="BK9" s="348"/>
      <c r="BL9" s="348"/>
      <c r="BM9" s="348"/>
      <c r="BN9" s="348"/>
      <c r="BO9" s="348"/>
      <c r="BP9" s="348"/>
      <c r="BQ9" s="348"/>
      <c r="BR9" s="348"/>
      <c r="BS9" s="348"/>
      <c r="BT9" s="351"/>
      <c r="BU9" s="351"/>
      <c r="BV9" s="351"/>
      <c r="BW9" s="351"/>
      <c r="BX9" s="351"/>
      <c r="BY9" s="351"/>
      <c r="BZ9" s="351"/>
      <c r="CA9" s="351"/>
      <c r="CB9" s="351"/>
      <c r="CC9" s="351"/>
    </row>
    <row r="10" spans="1:254" s="1807" customFormat="1" ht="15" customHeight="1">
      <c r="A10" s="1859"/>
      <c r="B10" s="1062"/>
      <c r="C10" s="342"/>
      <c r="D10" s="714"/>
      <c r="E10" s="1453"/>
      <c r="F10" s="1412" t="s">
        <v>2111</v>
      </c>
      <c r="G10" s="1454"/>
      <c r="H10" s="1454"/>
      <c r="I10" s="1454"/>
      <c r="J10" s="2248"/>
      <c r="K10" s="1448"/>
      <c r="L10" s="437"/>
      <c r="M10" s="437"/>
      <c r="N10" s="437"/>
      <c r="O10" s="426"/>
      <c r="P10" s="437"/>
      <c r="Q10" s="1062"/>
      <c r="R10" s="1062"/>
      <c r="S10" s="349"/>
      <c r="T10" s="1062"/>
      <c r="U10" s="1062"/>
      <c r="V10" s="1062"/>
      <c r="W10" s="351"/>
      <c r="X10" s="351"/>
      <c r="Y10" s="348"/>
      <c r="Z10" s="348"/>
      <c r="AA10" s="348"/>
      <c r="AB10" s="348"/>
      <c r="AC10" s="348"/>
      <c r="AD10" s="348"/>
      <c r="AE10" s="348"/>
      <c r="AF10" s="348"/>
      <c r="AG10" s="348"/>
      <c r="AH10" s="348"/>
      <c r="AI10" s="348"/>
      <c r="AJ10" s="348"/>
      <c r="AK10" s="348"/>
      <c r="AL10" s="348"/>
      <c r="AM10" s="348"/>
      <c r="AN10" s="348"/>
      <c r="AO10" s="348"/>
      <c r="AP10" s="348"/>
      <c r="AQ10" s="348"/>
      <c r="AR10" s="348"/>
      <c r="AS10" s="348"/>
      <c r="AT10" s="348"/>
      <c r="AU10" s="348"/>
      <c r="AV10" s="348"/>
      <c r="AW10" s="348"/>
      <c r="AX10" s="348"/>
      <c r="AY10" s="348"/>
      <c r="AZ10" s="348"/>
      <c r="BA10" s="348"/>
      <c r="BB10" s="348"/>
      <c r="BC10" s="348"/>
      <c r="BD10" s="348"/>
      <c r="BE10" s="348"/>
      <c r="BF10" s="348"/>
      <c r="BG10" s="348"/>
      <c r="BH10" s="348"/>
      <c r="BI10" s="348"/>
      <c r="BJ10" s="348"/>
      <c r="BK10" s="348"/>
      <c r="BL10" s="348"/>
      <c r="BM10" s="348"/>
      <c r="BN10" s="348"/>
      <c r="BO10" s="348"/>
      <c r="BP10" s="348"/>
      <c r="BQ10" s="348"/>
      <c r="BR10" s="348"/>
      <c r="BS10" s="348"/>
      <c r="BT10" s="351"/>
      <c r="BU10" s="351"/>
      <c r="BV10" s="351"/>
      <c r="BW10" s="351"/>
      <c r="BX10" s="351"/>
      <c r="BY10" s="351"/>
      <c r="BZ10" s="351"/>
      <c r="CA10" s="351"/>
      <c r="CB10" s="351"/>
      <c r="CC10" s="351"/>
    </row>
    <row r="11" spans="1:254" s="1740" customFormat="1" ht="21" customHeight="1">
      <c r="A11" s="1057"/>
      <c r="B11" s="1062"/>
      <c r="C11" s="1057"/>
      <c r="D11" s="378"/>
      <c r="E11" s="98"/>
      <c r="F11" s="98"/>
      <c r="G11" s="98"/>
      <c r="H11" s="98"/>
      <c r="I11" s="98"/>
      <c r="J11" s="98"/>
      <c r="K11" s="426"/>
      <c r="L11" s="426"/>
      <c r="M11" s="426"/>
      <c r="N11" s="426"/>
      <c r="O11" s="143"/>
      <c r="P11" s="426"/>
      <c r="Q11" s="142"/>
      <c r="R11" s="142"/>
      <c r="S11" s="142"/>
      <c r="T11" s="142"/>
    </row>
    <row r="12" spans="1:254" s="1740" customFormat="1" ht="14.25" customHeight="1">
      <c r="A12" s="1057"/>
      <c r="B12" s="1062"/>
      <c r="C12" s="1057"/>
      <c r="D12" s="378"/>
      <c r="E12" s="1057"/>
      <c r="F12" s="1057"/>
      <c r="G12" s="1057"/>
      <c r="H12" s="1057"/>
      <c r="I12" s="1057"/>
      <c r="J12" s="1057"/>
      <c r="K12" s="426"/>
      <c r="L12" s="426"/>
      <c r="M12" s="426"/>
      <c r="N12" s="426"/>
      <c r="O12" s="143"/>
      <c r="P12" s="426"/>
      <c r="Q12" s="142"/>
      <c r="R12" s="142"/>
      <c r="S12" s="142"/>
      <c r="T12" s="142"/>
    </row>
    <row r="13" spans="1:254" s="1740" customFormat="1" ht="0.75" customHeight="1">
      <c r="A13" s="1057"/>
      <c r="B13" s="1062"/>
      <c r="C13" s="1057"/>
      <c r="D13" s="378"/>
      <c r="E13" s="1057"/>
      <c r="F13" s="1057"/>
      <c r="G13" s="1057"/>
      <c r="H13" s="1057"/>
      <c r="I13" s="1057"/>
      <c r="J13" s="1057"/>
      <c r="K13" s="426"/>
      <c r="L13" s="426"/>
      <c r="M13" s="426"/>
      <c r="N13" s="426"/>
      <c r="O13" s="143"/>
      <c r="P13" s="426"/>
      <c r="Q13" s="142"/>
      <c r="R13" s="142"/>
      <c r="S13" s="142"/>
      <c r="T13" s="142"/>
    </row>
    <row r="14" spans="1:254" s="972" customFormat="1" ht="10.5" customHeight="1">
      <c r="B14" s="747"/>
      <c r="D14" s="100"/>
      <c r="K14" s="426"/>
      <c r="L14" s="426"/>
      <c r="M14" s="426"/>
      <c r="N14" s="426"/>
      <c r="O14" s="143"/>
      <c r="P14" s="426"/>
      <c r="Q14" s="142"/>
      <c r="R14" s="142"/>
      <c r="S14" s="142"/>
      <c r="T14" s="142"/>
    </row>
    <row r="15" spans="1:254" s="972" customFormat="1" ht="10.5" customHeight="1">
      <c r="B15" s="747"/>
      <c r="D15" s="100"/>
      <c r="K15" s="426"/>
      <c r="L15" s="426"/>
      <c r="M15" s="426"/>
      <c r="N15" s="426"/>
      <c r="O15" s="143"/>
      <c r="P15" s="426"/>
      <c r="Q15" s="142"/>
      <c r="R15" s="142"/>
      <c r="S15" s="142"/>
      <c r="T15" s="142"/>
    </row>
    <row r="19" spans="7:13" ht="14.25" customHeight="1">
      <c r="G19"/>
      <c r="H19"/>
      <c r="I19"/>
    </row>
    <row r="23" spans="7:13" ht="14.25" customHeight="1">
      <c r="K23" s="1057"/>
      <c r="L23" s="1057"/>
      <c r="M23" s="1057"/>
    </row>
  </sheetData>
  <sheetProtection formatColumns="0" formatRows="0" insertRows="0" deleteColumns="0" deleteRows="0" sort="0" autoFilter="0"/>
  <mergeCells count="5">
    <mergeCell ref="E5:J5"/>
    <mergeCell ref="A9:A10"/>
    <mergeCell ref="E7:I7"/>
    <mergeCell ref="J7:J8"/>
    <mergeCell ref="J9:J10"/>
  </mergeCells>
  <dataValidations count="1">
    <dataValidation type="textLength" allowBlank="1" showInputMessage="1" showErrorMessage="1" sqref="I2:I3 I9">
      <formula1>13</formula1>
      <formula2>15</formula2>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V14"/>
  <sheetViews>
    <sheetView showGridLines="0" topLeftCell="D4" zoomScale="90" workbookViewId="0"/>
  </sheetViews>
  <sheetFormatPr defaultColWidth="9.140625" defaultRowHeight="14.25" customHeight="1"/>
  <cols>
    <col min="1" max="1" width="9.140625" style="1552" hidden="1"/>
    <col min="2" max="2" width="9.140625" style="1284" hidden="1"/>
    <col min="3" max="3" width="3.7109375" style="1552" hidden="1" customWidth="1"/>
    <col min="4" max="4" width="3.85546875" style="1762" customWidth="1"/>
    <col min="5" max="5" width="6.28515625" style="1552" customWidth="1"/>
    <col min="6" max="6" width="27.28515625" style="1552" customWidth="1"/>
    <col min="7" max="7" width="16.7109375" style="1552" customWidth="1"/>
    <col min="8" max="8" width="12.7109375" style="1552" customWidth="1"/>
    <col min="9" max="9" width="32.140625" style="1552" customWidth="1"/>
    <col min="10" max="11" width="41.85546875" style="1552" customWidth="1"/>
    <col min="12" max="12" width="89.5703125" style="1552" customWidth="1"/>
    <col min="13" max="13" width="3.7109375" style="1541" customWidth="1"/>
    <col min="14" max="16" width="9.140625" style="1541"/>
    <col min="17" max="17" width="25.7109375" style="1541" customWidth="1"/>
    <col min="18" max="18" width="14.42578125" style="1541" customWidth="1"/>
    <col min="19" max="22" width="9.140625" style="142"/>
    <col min="23" max="256" width="9.140625" style="1552"/>
  </cols>
  <sheetData>
    <row r="1" spans="1:256" ht="14.25" hidden="1" customHeight="1"/>
    <row r="2" spans="1:256" s="1807" customFormat="1" ht="22.5" hidden="1" customHeight="1">
      <c r="A2" s="744"/>
      <c r="B2" s="1062">
        <v>1</v>
      </c>
      <c r="C2" s="1062"/>
      <c r="D2" s="714"/>
      <c r="E2" s="1396"/>
      <c r="F2" s="1451" t="str">
        <f>IF(ROIV_INFO_NAME="","",ROIV_INFO_NAME)</f>
        <v>АО СЗ "КМАпроектжилстрой"</v>
      </c>
      <c r="G2" s="1648" t="s">
        <v>18</v>
      </c>
      <c r="H2" s="1450"/>
      <c r="I2" s="1450"/>
      <c r="J2" s="1066"/>
      <c r="K2" s="1066"/>
      <c r="L2" s="145"/>
      <c r="M2" s="1447" t="e">
        <f ca="1">MERGEVALUE(F2)</f>
        <v>#NAME?</v>
      </c>
      <c r="N2" s="437"/>
      <c r="O2" s="437"/>
      <c r="P2" s="426" t="str">
        <f t="array" ref="P2">IF(ISERROR(MATCH(MID(Q2,1,250),MID(note_ter,1,250),0)),"n","y")</f>
        <v>n</v>
      </c>
      <c r="Q2" s="437"/>
      <c r="R2" s="426" t="str">
        <f>G2&amp;"("&amp;L2&amp;")"</f>
        <v>()</v>
      </c>
      <c r="S2" s="1062"/>
      <c r="T2" s="1062"/>
      <c r="U2" s="349"/>
      <c r="V2" s="1062"/>
      <c r="W2" s="1062"/>
      <c r="X2" s="1062"/>
      <c r="Y2" s="351"/>
      <c r="Z2" s="351"/>
      <c r="AA2" s="348"/>
      <c r="AB2" s="348"/>
      <c r="AC2" s="348"/>
      <c r="AD2" s="348"/>
      <c r="AE2" s="348"/>
      <c r="AF2" s="348"/>
      <c r="AG2" s="348"/>
      <c r="AH2" s="348"/>
      <c r="AI2" s="348"/>
      <c r="AJ2" s="348"/>
      <c r="AK2" s="348"/>
      <c r="AL2" s="348"/>
      <c r="AM2" s="348"/>
      <c r="AN2" s="348"/>
      <c r="AO2" s="348"/>
      <c r="AP2" s="348"/>
      <c r="AQ2" s="348"/>
      <c r="AR2" s="348"/>
      <c r="AS2" s="348"/>
      <c r="AT2" s="348"/>
      <c r="AU2" s="348"/>
      <c r="AV2" s="348"/>
      <c r="AW2" s="348"/>
      <c r="AX2" s="348"/>
      <c r="AY2" s="348"/>
      <c r="AZ2" s="348"/>
      <c r="BA2" s="348"/>
      <c r="BB2" s="348"/>
      <c r="BC2" s="348"/>
      <c r="BD2" s="348"/>
      <c r="BE2" s="348"/>
      <c r="BF2" s="348"/>
      <c r="BG2" s="348"/>
      <c r="BH2" s="348"/>
      <c r="BI2" s="348"/>
      <c r="BJ2" s="348"/>
      <c r="BK2" s="348"/>
      <c r="BL2" s="348"/>
      <c r="BM2" s="348"/>
      <c r="BN2" s="348"/>
      <c r="BO2" s="348"/>
      <c r="BP2" s="348"/>
      <c r="BQ2" s="348"/>
      <c r="BR2" s="348"/>
      <c r="BS2" s="348"/>
      <c r="BT2" s="348"/>
      <c r="BU2" s="348"/>
      <c r="BV2" s="351"/>
      <c r="BW2" s="351"/>
      <c r="BX2" s="351"/>
      <c r="BY2" s="351"/>
      <c r="BZ2" s="351"/>
      <c r="CA2" s="351"/>
      <c r="CB2" s="351"/>
      <c r="CC2" s="351"/>
      <c r="CD2" s="351"/>
      <c r="CE2" s="351"/>
    </row>
    <row r="3" spans="1:256" s="1559" customFormat="1" ht="5.25" hidden="1" customHeight="1">
      <c r="A3" s="422"/>
      <c r="D3" s="420"/>
      <c r="F3" s="162" t="s">
        <v>83</v>
      </c>
      <c r="G3" s="1651" t="s">
        <v>84</v>
      </c>
      <c r="H3" s="420"/>
      <c r="I3" s="420"/>
      <c r="J3" s="420"/>
      <c r="K3" s="420"/>
      <c r="L3" s="144" t="s">
        <v>85</v>
      </c>
      <c r="M3" s="162" t="s">
        <v>83</v>
      </c>
      <c r="N3" s="162"/>
      <c r="O3" s="162"/>
      <c r="P3" s="162"/>
      <c r="Q3" s="163"/>
      <c r="R3" s="162"/>
      <c r="S3" s="162"/>
      <c r="T3" s="162"/>
      <c r="U3" s="162"/>
      <c r="V3" s="162"/>
      <c r="W3" s="144"/>
      <c r="X3" s="144"/>
      <c r="Y3" s="144"/>
      <c r="Z3" s="144"/>
      <c r="AA3" s="144"/>
      <c r="AB3" s="144"/>
      <c r="AC3" s="144"/>
      <c r="AD3" s="144"/>
      <c r="AE3" s="144"/>
      <c r="AF3" s="144"/>
      <c r="AG3" s="144"/>
      <c r="AH3" s="144"/>
      <c r="AI3" s="144"/>
      <c r="AJ3" s="144"/>
      <c r="AK3" s="144"/>
      <c r="AL3" s="144"/>
      <c r="AM3" s="144"/>
      <c r="AN3" s="144"/>
      <c r="AO3" s="144"/>
      <c r="AP3" s="144"/>
      <c r="AQ3" s="144"/>
      <c r="AR3" s="144"/>
      <c r="AS3" s="144"/>
      <c r="AT3" s="144"/>
      <c r="AU3" s="144"/>
      <c r="AV3" s="144"/>
      <c r="AW3" s="144"/>
      <c r="AX3" s="144"/>
      <c r="AY3" s="144"/>
      <c r="AZ3" s="144"/>
      <c r="BA3" s="144"/>
      <c r="BB3" s="144"/>
      <c r="BC3" s="144"/>
      <c r="BD3" s="144"/>
      <c r="BE3" s="144"/>
      <c r="BF3" s="144"/>
      <c r="BG3" s="144"/>
      <c r="BH3" s="144"/>
      <c r="BI3" s="144"/>
      <c r="BJ3" s="144"/>
      <c r="BK3" s="144"/>
      <c r="BL3" s="144"/>
      <c r="BM3" s="144"/>
      <c r="BN3" s="144"/>
      <c r="BO3" s="144"/>
      <c r="BP3" s="144"/>
      <c r="BQ3" s="144"/>
      <c r="BR3" s="144"/>
      <c r="BS3" s="144"/>
      <c r="BT3" s="144"/>
      <c r="BU3" s="144"/>
      <c r="BV3" s="144"/>
      <c r="BW3" s="144"/>
      <c r="BX3" s="144"/>
      <c r="BY3" s="144"/>
      <c r="BZ3" s="144"/>
      <c r="CA3" s="144"/>
      <c r="CB3" s="144"/>
      <c r="CC3" s="144"/>
      <c r="CD3" s="144"/>
      <c r="CE3" s="144"/>
      <c r="CF3" s="144"/>
      <c r="CG3" s="144"/>
      <c r="CH3" s="144"/>
      <c r="CI3" s="144"/>
      <c r="CJ3" s="144"/>
      <c r="CK3" s="144"/>
      <c r="CL3" s="144"/>
      <c r="CM3" s="144"/>
      <c r="CN3" s="144"/>
      <c r="CO3" s="144"/>
      <c r="CP3" s="144"/>
      <c r="CQ3" s="144"/>
      <c r="CR3" s="144"/>
      <c r="CS3" s="144"/>
      <c r="CT3" s="144"/>
      <c r="CU3" s="144"/>
      <c r="CV3" s="144"/>
      <c r="CW3" s="144"/>
      <c r="CX3" s="144"/>
      <c r="CY3" s="144"/>
      <c r="CZ3" s="144"/>
      <c r="DA3" s="144"/>
      <c r="DB3" s="144"/>
      <c r="DC3" s="144"/>
      <c r="DD3" s="144"/>
      <c r="DE3" s="144"/>
      <c r="DF3" s="144"/>
      <c r="DG3" s="144"/>
      <c r="DH3" s="144"/>
      <c r="DI3" s="144"/>
      <c r="DJ3" s="144"/>
      <c r="DK3" s="144"/>
      <c r="DL3" s="144"/>
      <c r="DM3" s="144"/>
      <c r="DN3" s="144"/>
      <c r="DO3" s="144"/>
      <c r="DP3" s="144"/>
      <c r="DQ3" s="144"/>
      <c r="DR3" s="144"/>
      <c r="DS3" s="144"/>
      <c r="DT3" s="144"/>
      <c r="DU3" s="144"/>
      <c r="DV3" s="144"/>
      <c r="DW3" s="144"/>
      <c r="DX3" s="144"/>
      <c r="DY3" s="144"/>
      <c r="DZ3" s="144"/>
      <c r="EA3" s="144"/>
      <c r="EB3" s="144"/>
      <c r="EC3" s="144"/>
      <c r="ED3" s="144"/>
      <c r="EE3" s="144"/>
      <c r="EF3" s="144"/>
      <c r="EG3" s="144"/>
      <c r="EH3" s="144"/>
      <c r="EI3" s="144"/>
      <c r="EJ3" s="144"/>
      <c r="EK3" s="144"/>
      <c r="EL3" s="144"/>
      <c r="EM3" s="144"/>
      <c r="EN3" s="144"/>
      <c r="EO3" s="144"/>
      <c r="EP3" s="144"/>
      <c r="EQ3" s="144"/>
      <c r="ER3" s="144"/>
      <c r="ES3" s="144"/>
      <c r="ET3" s="144"/>
      <c r="EU3" s="144"/>
      <c r="EV3" s="144"/>
      <c r="EW3" s="144"/>
      <c r="EX3" s="144"/>
      <c r="EY3" s="144"/>
      <c r="EZ3" s="144"/>
      <c r="FA3" s="144"/>
      <c r="FB3" s="144"/>
      <c r="FC3" s="144"/>
      <c r="FD3" s="144"/>
      <c r="FE3" s="144"/>
      <c r="FF3" s="144"/>
      <c r="FG3" s="144"/>
      <c r="FH3" s="144"/>
      <c r="FI3" s="144"/>
      <c r="FJ3" s="144"/>
      <c r="FK3" s="144"/>
      <c r="FL3" s="144"/>
      <c r="FM3" s="144"/>
      <c r="FN3" s="144"/>
      <c r="FO3" s="144"/>
      <c r="FP3" s="144"/>
      <c r="FQ3" s="144"/>
      <c r="FR3" s="144"/>
      <c r="FS3" s="144"/>
      <c r="FT3" s="144"/>
      <c r="FU3" s="144"/>
      <c r="FV3" s="144"/>
      <c r="FW3" s="144"/>
      <c r="FX3" s="144"/>
      <c r="FY3" s="144"/>
      <c r="FZ3" s="144"/>
      <c r="GA3" s="144"/>
      <c r="GB3" s="144"/>
      <c r="GC3" s="144"/>
      <c r="GD3" s="144"/>
      <c r="GE3" s="144"/>
      <c r="GF3" s="144"/>
      <c r="GG3" s="144"/>
      <c r="GH3" s="144"/>
      <c r="GI3" s="144"/>
      <c r="GJ3" s="144"/>
      <c r="GK3" s="144"/>
      <c r="GL3" s="144"/>
      <c r="GM3" s="144"/>
      <c r="GN3" s="144"/>
      <c r="GO3" s="144"/>
      <c r="GP3" s="144"/>
      <c r="GQ3" s="144"/>
      <c r="GR3" s="144"/>
      <c r="GS3" s="144"/>
      <c r="GT3" s="144"/>
      <c r="GU3" s="144"/>
      <c r="GV3" s="144"/>
      <c r="GW3" s="144"/>
      <c r="GX3" s="144"/>
      <c r="GY3" s="144"/>
      <c r="GZ3" s="144"/>
      <c r="HA3" s="144"/>
      <c r="HB3" s="144"/>
      <c r="HC3" s="144"/>
      <c r="HD3" s="144"/>
      <c r="HE3" s="144"/>
      <c r="HF3" s="144"/>
      <c r="HG3" s="144"/>
      <c r="HH3" s="144"/>
      <c r="HI3" s="144"/>
      <c r="HJ3" s="144"/>
      <c r="HK3" s="144"/>
      <c r="HL3" s="144"/>
      <c r="HM3" s="144"/>
      <c r="HN3" s="144"/>
      <c r="HO3" s="144"/>
      <c r="HP3" s="144"/>
      <c r="HQ3" s="144"/>
      <c r="HR3" s="144"/>
      <c r="HS3" s="144"/>
      <c r="HT3" s="144"/>
      <c r="HU3" s="144"/>
      <c r="HV3" s="144"/>
      <c r="HW3" s="144"/>
      <c r="HX3" s="144"/>
      <c r="HY3" s="144"/>
      <c r="HZ3" s="144"/>
      <c r="IA3" s="144"/>
      <c r="IB3" s="144"/>
      <c r="IC3" s="144"/>
      <c r="ID3" s="144"/>
      <c r="IE3" s="144"/>
      <c r="IF3" s="144"/>
      <c r="IG3" s="144"/>
      <c r="IH3" s="144"/>
      <c r="II3" s="144"/>
      <c r="IJ3" s="144"/>
      <c r="IK3" s="144"/>
      <c r="IL3" s="144"/>
      <c r="IM3" s="144"/>
      <c r="IN3" s="144"/>
      <c r="IO3" s="144"/>
      <c r="IP3" s="144"/>
      <c r="IQ3" s="144"/>
      <c r="IR3" s="144"/>
      <c r="IS3" s="144"/>
      <c r="IT3" s="144"/>
      <c r="IU3" s="144"/>
      <c r="IV3" s="144"/>
    </row>
    <row r="4" spans="1:256" s="1740" customFormat="1" ht="14.25" customHeight="1">
      <c r="A4" s="1057"/>
      <c r="B4" s="1062"/>
      <c r="C4" s="1057"/>
      <c r="D4" s="1407"/>
      <c r="E4" s="435"/>
      <c r="F4" s="435"/>
      <c r="G4" s="435"/>
      <c r="H4" s="435"/>
      <c r="I4" s="435"/>
      <c r="J4" s="435"/>
      <c r="K4" s="435"/>
      <c r="L4" s="84"/>
      <c r="M4" s="162"/>
      <c r="N4" s="426"/>
      <c r="O4" s="426"/>
      <c r="P4" s="426"/>
      <c r="Q4" s="143"/>
      <c r="R4" s="426"/>
      <c r="S4" s="142"/>
      <c r="T4" s="142"/>
      <c r="U4" s="142"/>
      <c r="V4" s="142"/>
    </row>
    <row r="5" spans="1:256" s="1740" customFormat="1" ht="25.5" customHeight="1">
      <c r="A5" s="1057"/>
      <c r="B5" s="1062"/>
      <c r="C5" s="1057"/>
      <c r="D5" s="1407"/>
      <c r="E5" s="1860" t="str">
        <f>"Форма 3. Информация о рассмотрении дел об установлении тарифов в сфере "&amp;TEMPLATE_SPHERE_RUS</f>
        <v>Форма 3. Информация о рассмотрении дел об установлении тарифов в сфере холодного водоснабжения</v>
      </c>
      <c r="F5" s="1860"/>
      <c r="G5" s="1860"/>
      <c r="H5" s="1860"/>
      <c r="I5" s="1860"/>
      <c r="J5" s="1860"/>
      <c r="K5" s="1860"/>
      <c r="L5" s="507"/>
      <c r="M5" s="162"/>
      <c r="N5" s="426"/>
      <c r="O5" s="426"/>
      <c r="P5" s="426"/>
      <c r="Q5" s="143"/>
      <c r="R5" s="426"/>
      <c r="S5" s="142"/>
      <c r="T5" s="142"/>
      <c r="U5" s="142"/>
      <c r="V5" s="142"/>
    </row>
    <row r="6" spans="1:256" s="1740" customFormat="1" ht="14.25" customHeight="1">
      <c r="A6" s="1057"/>
      <c r="B6" s="1062"/>
      <c r="C6" s="1057"/>
      <c r="D6" s="1407"/>
      <c r="E6" s="435"/>
      <c r="F6" s="85"/>
      <c r="G6" s="85"/>
      <c r="H6" s="85"/>
      <c r="I6" s="85"/>
      <c r="J6" s="85"/>
      <c r="K6" s="85"/>
      <c r="L6" s="86"/>
      <c r="M6" s="426"/>
      <c r="N6" s="426"/>
      <c r="O6" s="426"/>
      <c r="P6" s="426"/>
      <c r="Q6" s="143"/>
      <c r="R6" s="426"/>
      <c r="S6" s="142"/>
      <c r="T6" s="142"/>
      <c r="U6" s="142"/>
      <c r="V6" s="142"/>
    </row>
    <row r="7" spans="1:256" s="1740" customFormat="1" ht="14.25" customHeight="1">
      <c r="A7" s="1057"/>
      <c r="B7" s="1062"/>
      <c r="C7" s="1057"/>
      <c r="D7" s="1407"/>
      <c r="E7" s="1856" t="s">
        <v>291</v>
      </c>
      <c r="F7" s="1861"/>
      <c r="G7" s="1861"/>
      <c r="H7" s="1861"/>
      <c r="I7" s="1861"/>
      <c r="J7" s="1861"/>
      <c r="K7" s="1861"/>
      <c r="L7" s="2245" t="s">
        <v>292</v>
      </c>
      <c r="M7" s="426"/>
      <c r="N7" s="426"/>
      <c r="O7" s="426"/>
      <c r="P7" s="426"/>
      <c r="Q7" s="143"/>
      <c r="R7" s="426"/>
      <c r="S7" s="142"/>
      <c r="T7" s="142"/>
      <c r="U7" s="142"/>
      <c r="V7" s="142"/>
    </row>
    <row r="8" spans="1:256" s="1740" customFormat="1" ht="47.25" customHeight="1">
      <c r="A8" s="1057"/>
      <c r="B8" s="1062"/>
      <c r="C8" s="1057"/>
      <c r="D8" s="1407"/>
      <c r="E8" s="2250" t="s">
        <v>88</v>
      </c>
      <c r="F8" s="2250" t="s">
        <v>2090</v>
      </c>
      <c r="G8" s="2252" t="str">
        <f>"Заседание правления (коллегии органа регулирования тарифов, на котором планируется рассмотрение дела об установлении тарифов в сфере "&amp;TEMPLATE_SPHERE_RUS</f>
        <v>Заседание правления (коллегии органа регулирования тарифов, на котором планируется рассмотрение дела об установлении тарифов в сфере холодного водоснабжения</v>
      </c>
      <c r="H8" s="2253"/>
      <c r="I8" s="2254"/>
      <c r="J8" s="2250" t="str">
        <f>"Принятые органом регулирования тарифов решения об установлении тарифов в сфере "&amp;TEMPLATE_SPHERE_RUS</f>
        <v>Принятые органом регулирования тарифов решения об установлении тарифов в сфере холодного водоснабжения</v>
      </c>
      <c r="K8" s="2250" t="str">
        <f>"Протокол заседания правления (коллегии) органа регулирования тарифов, оформленный в соответствии с требованиями"&amp;IF(TEMPLATE_SPHERE="HEAT"," законодательства Российской Федерации",IF(TEMPLATE_SPHERE="TKO",", установленными правилами регулирования тарифов в сфере обращения с твердыми коммунальными отходами, утвержденными Правительством Российской Федерации",",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 ""О государственном регулировании тарифов в сфере водоснабжения и водоотведения"""))</f>
        <v>Протокол заседания правления (коллегии) органа регулирования тарифов, оформленный в соответствии 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 "О государственном регулировании тарифов в сфере водоснабжения и водоотведения"</v>
      </c>
      <c r="L8" s="2249"/>
      <c r="M8" s="426"/>
      <c r="N8" s="426"/>
      <c r="O8" s="426"/>
      <c r="P8" s="426"/>
      <c r="Q8" s="143"/>
      <c r="R8" s="426"/>
      <c r="S8" s="142"/>
      <c r="T8" s="142"/>
      <c r="U8" s="142"/>
      <c r="V8" s="142"/>
    </row>
    <row r="9" spans="1:256" s="1740" customFormat="1" ht="56.25" customHeight="1">
      <c r="A9" s="1057"/>
      <c r="B9" s="1062"/>
      <c r="C9" s="1057"/>
      <c r="D9" s="1407"/>
      <c r="E9" s="2251"/>
      <c r="F9" s="2251"/>
      <c r="G9" s="1449" t="s">
        <v>2112</v>
      </c>
      <c r="H9" s="1449" t="s">
        <v>2113</v>
      </c>
      <c r="I9" s="1449" t="s">
        <v>2114</v>
      </c>
      <c r="J9" s="2251"/>
      <c r="K9" s="2251"/>
      <c r="L9" s="2246"/>
      <c r="M9" s="426"/>
      <c r="N9" s="426"/>
      <c r="O9" s="426"/>
      <c r="P9" s="426"/>
      <c r="Q9" s="143"/>
      <c r="R9" s="426"/>
      <c r="S9" s="142"/>
      <c r="T9" s="142"/>
      <c r="U9" s="142"/>
      <c r="V9" s="142"/>
    </row>
    <row r="10" spans="1:256" s="1807" customFormat="1" ht="22.5" customHeight="1">
      <c r="A10" s="1859"/>
      <c r="B10" s="1062">
        <v>1</v>
      </c>
      <c r="C10" s="1062"/>
      <c r="D10" s="713"/>
      <c r="E10" s="711">
        <v>1</v>
      </c>
      <c r="F10" s="1451" t="str">
        <f>IF(ROIV_INFO_NAME="","",ROIV_INFO_NAME)</f>
        <v>АО СЗ "КМАпроектжилстрой"</v>
      </c>
      <c r="G10" s="1648" t="s">
        <v>18</v>
      </c>
      <c r="H10" s="1446"/>
      <c r="I10" s="1446"/>
      <c r="J10" s="1066"/>
      <c r="K10" s="1066"/>
      <c r="L10" s="2247" t="s">
        <v>2115</v>
      </c>
      <c r="M10" s="1447" t="e">
        <f ca="1">MERGEVALUE(F10)</f>
        <v>#NAME?</v>
      </c>
      <c r="N10" s="437"/>
      <c r="O10" s="437"/>
      <c r="P10" s="426" t="str">
        <f t="array" ref="P10">IF(ISERROR(MATCH(MID(Q10,1,250),MID(note_ter,1,250),0)),"n","y")</f>
        <v>n</v>
      </c>
      <c r="Q10" s="437"/>
      <c r="R10" s="426" t="str">
        <f>G10&amp;"("&amp;L10&amp;")"</f>
        <v>(В поле «Наименование органа регулирования тарифов»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образован._x000D_
В поле «дата» указывается дата в виде "ДД.ММ.ГГГГ»._x000D_
В поле «место» указывается адрес места проведения заседания (коллегии)._x000D_
В полях «Принятые органом регулирования… » и «Протокол заседания…» указываются ссылка на документ, предварительно загруженный в хранилище файлов ФГИС ЕИАС.)</v>
      </c>
      <c r="S10" s="1062"/>
      <c r="T10" s="1062"/>
      <c r="U10" s="349"/>
      <c r="V10" s="1062"/>
      <c r="W10" s="1062"/>
      <c r="X10" s="1062"/>
      <c r="Y10" s="351"/>
      <c r="Z10" s="351"/>
      <c r="AA10" s="348"/>
      <c r="AB10" s="348"/>
      <c r="AC10" s="348"/>
      <c r="AD10" s="348"/>
      <c r="AE10" s="348"/>
      <c r="AF10" s="348"/>
      <c r="AG10" s="348"/>
      <c r="AH10" s="348"/>
      <c r="AI10" s="348"/>
      <c r="AJ10" s="348"/>
      <c r="AK10" s="348"/>
      <c r="AL10" s="348"/>
      <c r="AM10" s="348"/>
      <c r="AN10" s="348"/>
      <c r="AO10" s="348"/>
      <c r="AP10" s="348"/>
      <c r="AQ10" s="348"/>
      <c r="AR10" s="348"/>
      <c r="AS10" s="348"/>
      <c r="AT10" s="348"/>
      <c r="AU10" s="348"/>
      <c r="AV10" s="348"/>
      <c r="AW10" s="348"/>
      <c r="AX10" s="348"/>
      <c r="AY10" s="348"/>
      <c r="AZ10" s="348"/>
      <c r="BA10" s="348"/>
      <c r="BB10" s="348"/>
      <c r="BC10" s="348"/>
      <c r="BD10" s="348"/>
      <c r="BE10" s="348"/>
      <c r="BF10" s="348"/>
      <c r="BG10" s="348"/>
      <c r="BH10" s="348"/>
      <c r="BI10" s="348"/>
      <c r="BJ10" s="348"/>
      <c r="BK10" s="348"/>
      <c r="BL10" s="348"/>
      <c r="BM10" s="348"/>
      <c r="BN10" s="348"/>
      <c r="BO10" s="348"/>
      <c r="BP10" s="348"/>
      <c r="BQ10" s="348"/>
      <c r="BR10" s="348"/>
      <c r="BS10" s="348"/>
      <c r="BT10" s="348"/>
      <c r="BU10" s="348"/>
      <c r="BV10" s="351"/>
      <c r="BW10" s="351"/>
      <c r="BX10" s="351"/>
      <c r="BY10" s="351"/>
      <c r="BZ10" s="351"/>
      <c r="CA10" s="351"/>
      <c r="CB10" s="351"/>
      <c r="CC10" s="351"/>
      <c r="CD10" s="351"/>
      <c r="CE10" s="351"/>
    </row>
    <row r="11" spans="1:256" s="1807" customFormat="1" ht="15" customHeight="1">
      <c r="A11" s="1859"/>
      <c r="B11" s="1062"/>
      <c r="C11" s="342"/>
      <c r="D11" s="714"/>
      <c r="E11" s="350"/>
      <c r="F11" s="346" t="s">
        <v>2116</v>
      </c>
      <c r="G11" s="105"/>
      <c r="H11" s="105"/>
      <c r="I11" s="105"/>
      <c r="J11" s="105"/>
      <c r="K11" s="105"/>
      <c r="L11" s="2248"/>
      <c r="M11" s="1448"/>
      <c r="N11" s="437"/>
      <c r="O11" s="437"/>
      <c r="P11" s="437"/>
      <c r="Q11" s="426"/>
      <c r="R11" s="437"/>
      <c r="S11" s="1062"/>
      <c r="T11" s="1062"/>
      <c r="U11" s="349"/>
      <c r="V11" s="1062"/>
      <c r="W11" s="1062"/>
      <c r="X11" s="1062"/>
      <c r="Y11" s="351"/>
      <c r="Z11" s="351"/>
      <c r="AA11" s="348"/>
      <c r="AB11" s="348"/>
      <c r="AC11" s="348"/>
      <c r="AD11" s="348"/>
      <c r="AE11" s="348"/>
      <c r="AF11" s="348"/>
      <c r="AG11" s="348"/>
      <c r="AH11" s="348"/>
      <c r="AI11" s="348"/>
      <c r="AJ11" s="348"/>
      <c r="AK11" s="348"/>
      <c r="AL11" s="348"/>
      <c r="AM11" s="348"/>
      <c r="AN11" s="348"/>
      <c r="AO11" s="348"/>
      <c r="AP11" s="348"/>
      <c r="AQ11" s="348"/>
      <c r="AR11" s="348"/>
      <c r="AS11" s="348"/>
      <c r="AT11" s="348"/>
      <c r="AU11" s="348"/>
      <c r="AV11" s="348"/>
      <c r="AW11" s="348"/>
      <c r="AX11" s="348"/>
      <c r="AY11" s="348"/>
      <c r="AZ11" s="348"/>
      <c r="BA11" s="348"/>
      <c r="BB11" s="348"/>
      <c r="BC11" s="348"/>
      <c r="BD11" s="348"/>
      <c r="BE11" s="348"/>
      <c r="BF11" s="348"/>
      <c r="BG11" s="348"/>
      <c r="BH11" s="348"/>
      <c r="BI11" s="348"/>
      <c r="BJ11" s="348"/>
      <c r="BK11" s="348"/>
      <c r="BL11" s="348"/>
      <c r="BM11" s="348"/>
      <c r="BN11" s="348"/>
      <c r="BO11" s="348"/>
      <c r="BP11" s="348"/>
      <c r="BQ11" s="348"/>
      <c r="BR11" s="348"/>
      <c r="BS11" s="348"/>
      <c r="BT11" s="348"/>
      <c r="BU11" s="348"/>
      <c r="BV11" s="351"/>
      <c r="BW11" s="351"/>
      <c r="BX11" s="351"/>
      <c r="BY11" s="351"/>
      <c r="BZ11" s="351"/>
      <c r="CA11" s="351"/>
      <c r="CB11" s="351"/>
      <c r="CC11" s="351"/>
      <c r="CD11" s="351"/>
      <c r="CE11" s="351"/>
    </row>
    <row r="12" spans="1:256" s="1740" customFormat="1" ht="21" customHeight="1">
      <c r="A12" s="1057"/>
      <c r="B12" s="1062"/>
      <c r="C12" s="1057"/>
      <c r="D12" s="378"/>
      <c r="E12" s="98"/>
      <c r="F12" s="98"/>
      <c r="G12" s="98"/>
      <c r="H12" s="98"/>
      <c r="I12" s="98"/>
      <c r="J12" s="98"/>
      <c r="K12" s="98"/>
      <c r="L12" s="98"/>
      <c r="M12" s="426"/>
      <c r="N12" s="426"/>
      <c r="O12" s="426"/>
      <c r="P12" s="426"/>
      <c r="Q12" s="143"/>
      <c r="R12" s="426"/>
      <c r="S12" s="142"/>
      <c r="T12" s="142"/>
      <c r="U12" s="142"/>
      <c r="V12" s="142"/>
    </row>
    <row r="13" spans="1:256" s="1740" customFormat="1" ht="14.25" customHeight="1">
      <c r="A13" s="1057"/>
      <c r="B13" s="1062"/>
      <c r="C13" s="1057"/>
      <c r="D13" s="378"/>
      <c r="E13" s="1057"/>
      <c r="F13" s="1057"/>
      <c r="G13" s="1057"/>
      <c r="H13" s="1057"/>
      <c r="I13" s="1057"/>
      <c r="J13" s="1057"/>
      <c r="K13" s="1057"/>
      <c r="L13" s="1057"/>
      <c r="M13" s="426"/>
      <c r="N13" s="426"/>
      <c r="O13" s="426"/>
      <c r="P13" s="426"/>
      <c r="Q13" s="143"/>
      <c r="R13" s="426"/>
      <c r="S13" s="142"/>
      <c r="T13" s="142"/>
      <c r="U13" s="142"/>
      <c r="V13" s="142"/>
    </row>
    <row r="14" spans="1:256" s="1740" customFormat="1" ht="0.75" customHeight="1">
      <c r="A14" s="1057"/>
      <c r="B14" s="1062"/>
      <c r="C14" s="1057"/>
      <c r="D14" s="378"/>
      <c r="E14" s="1057"/>
      <c r="F14" s="1057"/>
      <c r="G14" s="1057"/>
      <c r="H14" s="1057"/>
      <c r="I14" s="1057"/>
      <c r="J14" s="1057"/>
      <c r="K14" s="1057"/>
      <c r="L14" s="1057"/>
      <c r="M14" s="426"/>
      <c r="N14" s="426"/>
      <c r="O14" s="426"/>
      <c r="P14" s="426"/>
      <c r="Q14" s="143"/>
      <c r="R14" s="426"/>
      <c r="S14" s="142"/>
      <c r="T14" s="142"/>
      <c r="U14" s="142"/>
      <c r="V14" s="142"/>
    </row>
  </sheetData>
  <sheetProtection formatColumns="0" formatRows="0" insertRows="0" deleteColumns="0" deleteRows="0" sort="0" autoFilter="0"/>
  <mergeCells count="10">
    <mergeCell ref="L7:L9"/>
    <mergeCell ref="E7:K7"/>
    <mergeCell ref="A10:A11"/>
    <mergeCell ref="L10:L11"/>
    <mergeCell ref="E5:K5"/>
    <mergeCell ref="F8:F9"/>
    <mergeCell ref="E8:E9"/>
    <mergeCell ref="G8:I8"/>
    <mergeCell ref="J8:J9"/>
    <mergeCell ref="K8:K9"/>
  </mergeCells>
  <dataValidations count="3">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J2:K3 J10:K10">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G3 G10"/>
    <dataValidation type="textLength" allowBlank="1" showInputMessage="1" showErrorMessage="1" sqref="H2:I3 H10:I10">
      <formula1>13</formula1>
      <formula2>15</formula2>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Y16"/>
  <sheetViews>
    <sheetView showGridLines="0" topLeftCell="D5" zoomScale="90" workbookViewId="0"/>
  </sheetViews>
  <sheetFormatPr defaultColWidth="9.140625" defaultRowHeight="14.25" customHeight="1"/>
  <cols>
    <col min="1" max="1" width="9.140625" style="1552" hidden="1"/>
    <col min="2" max="2" width="9.140625" style="1284" hidden="1"/>
    <col min="3" max="3" width="3.7109375" style="1552" hidden="1" customWidth="1"/>
    <col min="4" max="4" width="3.85546875" style="1762" customWidth="1"/>
    <col min="5" max="5" width="10.140625" style="1552" customWidth="1"/>
    <col min="6" max="6" width="6.28515625" style="1552" customWidth="1"/>
    <col min="7" max="7" width="27.28515625" style="1552" customWidth="1"/>
    <col min="8" max="8" width="29.28515625" style="1552" customWidth="1"/>
    <col min="9" max="9" width="25.42578125" style="1552" customWidth="1"/>
    <col min="10" max="10" width="5.5703125" style="1552" customWidth="1"/>
    <col min="11" max="11" width="6.5703125" style="1552" customWidth="1"/>
    <col min="12" max="12" width="41.85546875" style="1552" customWidth="1"/>
    <col min="13" max="13" width="42.42578125" style="1552" customWidth="1"/>
    <col min="14" max="14" width="41.5703125" style="1552" customWidth="1"/>
    <col min="15" max="15" width="64.140625" style="1552" customWidth="1"/>
    <col min="16" max="16" width="3.7109375" style="1541" customWidth="1"/>
    <col min="17" max="19" width="9.140625" style="1541"/>
    <col min="20" max="20" width="25.7109375" style="1541" customWidth="1"/>
    <col min="21" max="21" width="14.42578125" style="1541" customWidth="1"/>
    <col min="22" max="25" width="9.140625" style="142"/>
    <col min="26" max="259" width="9.140625" style="1552"/>
  </cols>
  <sheetData>
    <row r="1" spans="1:259" ht="14.25" hidden="1" customHeight="1"/>
    <row r="2" spans="1:259" s="1807" customFormat="1" ht="22.5" hidden="1" customHeight="1">
      <c r="A2" s="422"/>
      <c r="B2" s="1062">
        <v>1</v>
      </c>
      <c r="C2" s="1062"/>
      <c r="D2" s="714"/>
      <c r="E2" s="1874"/>
      <c r="F2" s="1874">
        <v>1</v>
      </c>
      <c r="G2" s="2153" t="str">
        <f>IF(region_name="","",region_name)</f>
        <v>Белгородская область</v>
      </c>
      <c r="H2" s="2255"/>
      <c r="I2" s="2256"/>
      <c r="J2" s="400"/>
      <c r="K2" s="1396">
        <v>1</v>
      </c>
      <c r="L2" s="1066"/>
      <c r="M2" s="1066"/>
      <c r="N2" s="1066"/>
      <c r="O2" s="1066"/>
      <c r="P2" s="1447" t="e">
        <f ca="1">MERGEVALUE(G2)</f>
        <v>#NAME?</v>
      </c>
      <c r="Q2" s="437"/>
      <c r="R2" s="437"/>
      <c r="S2" s="426" t="str">
        <f t="array" ref="S2">IF(ISERROR(MATCH(MID(T2,1,250),MID(note_ter,1,250),0)),"n","y")</f>
        <v>n</v>
      </c>
      <c r="T2" s="437"/>
      <c r="U2" s="426"/>
      <c r="V2" s="1062"/>
      <c r="W2" s="1062"/>
      <c r="X2" s="349"/>
      <c r="Y2" s="1062"/>
      <c r="Z2" s="1062"/>
      <c r="AA2" s="1062"/>
      <c r="AB2" s="351"/>
      <c r="AC2" s="351"/>
      <c r="AD2" s="348"/>
      <c r="AE2" s="348"/>
      <c r="AF2" s="348"/>
      <c r="AG2" s="348"/>
      <c r="AH2" s="348"/>
      <c r="AI2" s="348"/>
      <c r="AJ2" s="348"/>
      <c r="AK2" s="348"/>
      <c r="AL2" s="348"/>
      <c r="AM2" s="348"/>
      <c r="AN2" s="348"/>
      <c r="AO2" s="348"/>
      <c r="AP2" s="348"/>
      <c r="AQ2" s="348"/>
      <c r="AR2" s="348"/>
      <c r="AS2" s="348"/>
      <c r="AT2" s="348"/>
      <c r="AU2" s="348"/>
      <c r="AV2" s="348"/>
      <c r="AW2" s="348"/>
      <c r="AX2" s="348"/>
      <c r="AY2" s="348"/>
      <c r="AZ2" s="348"/>
      <c r="BA2" s="348"/>
      <c r="BB2" s="348"/>
      <c r="BC2" s="348"/>
      <c r="BD2" s="348"/>
      <c r="BE2" s="348"/>
      <c r="BF2" s="348"/>
      <c r="BG2" s="348"/>
      <c r="BH2" s="348"/>
      <c r="BI2" s="348"/>
      <c r="BJ2" s="348"/>
      <c r="BK2" s="348"/>
      <c r="BL2" s="348"/>
      <c r="BM2" s="348"/>
      <c r="BN2" s="348"/>
      <c r="BO2" s="348"/>
      <c r="BP2" s="348"/>
      <c r="BQ2" s="348"/>
      <c r="BR2" s="348"/>
      <c r="BS2" s="348"/>
      <c r="BT2" s="348"/>
      <c r="BU2" s="348"/>
      <c r="BV2" s="348"/>
      <c r="BW2" s="348"/>
      <c r="BX2" s="348"/>
      <c r="BY2" s="351"/>
      <c r="BZ2" s="351"/>
      <c r="CA2" s="351"/>
      <c r="CB2" s="351"/>
      <c r="CC2" s="351"/>
      <c r="CD2" s="351"/>
      <c r="CE2" s="351"/>
      <c r="CF2" s="351"/>
      <c r="CG2" s="351"/>
      <c r="CH2" s="351"/>
    </row>
    <row r="3" spans="1:259" s="1807" customFormat="1" ht="22.5" hidden="1" customHeight="1">
      <c r="A3" s="744"/>
      <c r="B3" s="1062"/>
      <c r="C3" s="1062"/>
      <c r="D3" s="714"/>
      <c r="E3" s="1874"/>
      <c r="F3" s="1874"/>
      <c r="G3" s="2153"/>
      <c r="H3" s="2255"/>
      <c r="I3" s="2047"/>
      <c r="J3" s="1456"/>
      <c r="K3" s="1412"/>
      <c r="L3" s="1412" t="s">
        <v>2117</v>
      </c>
      <c r="M3" s="1459"/>
      <c r="N3" s="1459"/>
      <c r="O3" s="1460"/>
      <c r="P3" s="1447"/>
      <c r="Q3" s="437"/>
      <c r="R3" s="437"/>
      <c r="S3" s="426"/>
      <c r="T3" s="437"/>
      <c r="U3" s="426"/>
      <c r="V3" s="1062"/>
      <c r="W3" s="1062"/>
      <c r="X3" s="349"/>
      <c r="Y3" s="1062"/>
      <c r="Z3" s="1062"/>
      <c r="AA3" s="1062"/>
      <c r="AB3" s="351"/>
      <c r="AC3" s="351"/>
      <c r="AD3" s="348"/>
      <c r="AE3" s="348"/>
      <c r="AF3" s="348"/>
      <c r="AG3" s="348"/>
      <c r="AH3" s="348"/>
      <c r="AI3" s="348"/>
      <c r="AJ3" s="348"/>
      <c r="AK3" s="348"/>
      <c r="AL3" s="348"/>
      <c r="AM3" s="348"/>
      <c r="AN3" s="348"/>
      <c r="AO3" s="348"/>
      <c r="AP3" s="348"/>
      <c r="AQ3" s="348"/>
      <c r="AR3" s="348"/>
      <c r="AS3" s="348"/>
      <c r="AT3" s="348"/>
      <c r="AU3" s="348"/>
      <c r="AV3" s="348"/>
      <c r="AW3" s="348"/>
      <c r="AX3" s="348"/>
      <c r="AY3" s="348"/>
      <c r="AZ3" s="348"/>
      <c r="BA3" s="348"/>
      <c r="BB3" s="348"/>
      <c r="BC3" s="348"/>
      <c r="BD3" s="348"/>
      <c r="BE3" s="348"/>
      <c r="BF3" s="348"/>
      <c r="BG3" s="348"/>
      <c r="BH3" s="348"/>
      <c r="BI3" s="348"/>
      <c r="BJ3" s="348"/>
      <c r="BK3" s="348"/>
      <c r="BL3" s="348"/>
      <c r="BM3" s="348"/>
      <c r="BN3" s="348"/>
      <c r="BO3" s="348"/>
      <c r="BP3" s="348"/>
      <c r="BQ3" s="348"/>
      <c r="BR3" s="348"/>
      <c r="BS3" s="348"/>
      <c r="BT3" s="348"/>
      <c r="BU3" s="348"/>
      <c r="BV3" s="348"/>
      <c r="BW3" s="348"/>
      <c r="BX3" s="348"/>
      <c r="BY3" s="351"/>
      <c r="BZ3" s="351"/>
      <c r="CA3" s="351"/>
      <c r="CB3" s="351"/>
      <c r="CC3" s="351"/>
      <c r="CD3" s="351"/>
      <c r="CE3" s="351"/>
      <c r="CF3" s="351"/>
      <c r="CG3" s="351"/>
      <c r="CH3" s="351"/>
    </row>
    <row r="4" spans="1:259" s="1559" customFormat="1" ht="5.25" hidden="1" customHeight="1">
      <c r="A4" s="422"/>
      <c r="D4" s="420"/>
      <c r="G4" s="162" t="s">
        <v>83</v>
      </c>
      <c r="H4" s="420" t="s">
        <v>84</v>
      </c>
      <c r="I4" s="420"/>
      <c r="J4" s="1461"/>
      <c r="K4" s="1461"/>
      <c r="L4" s="1461"/>
      <c r="M4" s="1461"/>
      <c r="N4" s="1461"/>
      <c r="O4" s="1461"/>
      <c r="P4" s="162" t="s">
        <v>83</v>
      </c>
      <c r="Q4" s="162"/>
      <c r="R4" s="162"/>
      <c r="S4" s="162"/>
      <c r="T4" s="163"/>
      <c r="U4" s="162"/>
      <c r="V4" s="162"/>
      <c r="W4" s="162"/>
      <c r="X4" s="162"/>
      <c r="Y4" s="162"/>
      <c r="Z4" s="144"/>
      <c r="AA4" s="144"/>
      <c r="AB4" s="144"/>
      <c r="AC4" s="144"/>
      <c r="AD4" s="144"/>
      <c r="AE4" s="144"/>
      <c r="AF4" s="144"/>
      <c r="AG4" s="144"/>
      <c r="AH4" s="144"/>
      <c r="AI4" s="144"/>
      <c r="AJ4" s="144"/>
      <c r="AK4" s="144"/>
      <c r="AL4" s="144"/>
      <c r="AM4" s="144"/>
      <c r="AN4" s="144"/>
      <c r="AO4" s="144"/>
      <c r="AP4" s="144"/>
      <c r="AQ4" s="144"/>
      <c r="AR4" s="144"/>
      <c r="AS4" s="144"/>
      <c r="AT4" s="144"/>
      <c r="AU4" s="144"/>
      <c r="AV4" s="144"/>
      <c r="AW4" s="144"/>
      <c r="AX4" s="144"/>
      <c r="AY4" s="144"/>
      <c r="AZ4" s="144"/>
      <c r="BA4" s="144"/>
      <c r="BB4" s="144"/>
      <c r="BC4" s="144"/>
      <c r="BD4" s="144"/>
      <c r="BE4" s="144"/>
      <c r="BF4" s="144"/>
      <c r="BG4" s="144"/>
      <c r="BH4" s="144"/>
      <c r="BI4" s="144"/>
      <c r="BJ4" s="144"/>
      <c r="BK4" s="144"/>
      <c r="BL4" s="144"/>
      <c r="BM4" s="144"/>
      <c r="BN4" s="144"/>
      <c r="BO4" s="144"/>
      <c r="BP4" s="144"/>
      <c r="BQ4" s="144"/>
      <c r="BR4" s="144"/>
      <c r="BS4" s="144"/>
      <c r="BT4" s="144"/>
      <c r="BU4" s="144"/>
      <c r="BV4" s="144"/>
      <c r="BW4" s="144"/>
      <c r="BX4" s="144"/>
      <c r="BY4" s="144"/>
      <c r="BZ4" s="144"/>
      <c r="CA4" s="144"/>
      <c r="CB4" s="144"/>
      <c r="CC4" s="144"/>
      <c r="CD4" s="144"/>
      <c r="CE4" s="144"/>
      <c r="CF4" s="144"/>
      <c r="CG4" s="144"/>
      <c r="CH4" s="144"/>
      <c r="CI4" s="144"/>
      <c r="CJ4" s="144"/>
      <c r="CK4" s="144"/>
      <c r="CL4" s="144"/>
      <c r="CM4" s="144"/>
      <c r="CN4" s="144"/>
      <c r="CO4" s="144"/>
      <c r="CP4" s="144"/>
      <c r="CQ4" s="144"/>
      <c r="CR4" s="144"/>
      <c r="CS4" s="144"/>
      <c r="CT4" s="144"/>
      <c r="CU4" s="144"/>
      <c r="CV4" s="144"/>
      <c r="CW4" s="144"/>
      <c r="CX4" s="144"/>
      <c r="CY4" s="144"/>
      <c r="CZ4" s="144"/>
      <c r="DA4" s="144"/>
      <c r="DB4" s="144"/>
      <c r="DC4" s="144"/>
      <c r="DD4" s="144"/>
      <c r="DE4" s="144"/>
      <c r="DF4" s="144"/>
      <c r="DG4" s="144"/>
      <c r="DH4" s="144"/>
      <c r="DI4" s="144"/>
      <c r="DJ4" s="144"/>
      <c r="DK4" s="144"/>
      <c r="DL4" s="144"/>
      <c r="DM4" s="144"/>
      <c r="DN4" s="144"/>
      <c r="DO4" s="144"/>
      <c r="DP4" s="144"/>
      <c r="DQ4" s="144"/>
      <c r="DR4" s="144"/>
      <c r="DS4" s="144"/>
      <c r="DT4" s="144"/>
      <c r="DU4" s="144"/>
      <c r="DV4" s="144"/>
      <c r="DW4" s="144"/>
      <c r="DX4" s="144"/>
      <c r="DY4" s="144"/>
      <c r="DZ4" s="144"/>
      <c r="EA4" s="144"/>
      <c r="EB4" s="144"/>
      <c r="EC4" s="144"/>
      <c r="ED4" s="144"/>
      <c r="EE4" s="144"/>
      <c r="EF4" s="144"/>
      <c r="EG4" s="144"/>
      <c r="EH4" s="144"/>
      <c r="EI4" s="144"/>
      <c r="EJ4" s="144"/>
      <c r="EK4" s="144"/>
      <c r="EL4" s="144"/>
      <c r="EM4" s="144"/>
      <c r="EN4" s="144"/>
      <c r="EO4" s="144"/>
      <c r="EP4" s="144"/>
      <c r="EQ4" s="144"/>
      <c r="ER4" s="144"/>
      <c r="ES4" s="144"/>
      <c r="ET4" s="144"/>
      <c r="EU4" s="144"/>
      <c r="EV4" s="144"/>
      <c r="EW4" s="144"/>
      <c r="EX4" s="144"/>
      <c r="EY4" s="144"/>
      <c r="EZ4" s="144"/>
      <c r="FA4" s="144"/>
      <c r="FB4" s="144"/>
      <c r="FC4" s="144"/>
      <c r="FD4" s="144"/>
      <c r="FE4" s="144"/>
      <c r="FF4" s="144"/>
      <c r="FG4" s="144"/>
      <c r="FH4" s="144"/>
      <c r="FI4" s="144"/>
      <c r="FJ4" s="144"/>
      <c r="FK4" s="144"/>
      <c r="FL4" s="144"/>
      <c r="FM4" s="144"/>
      <c r="FN4" s="144"/>
      <c r="FO4" s="144"/>
      <c r="FP4" s="144"/>
      <c r="FQ4" s="144"/>
      <c r="FR4" s="144"/>
      <c r="FS4" s="144"/>
      <c r="FT4" s="144"/>
      <c r="FU4" s="144"/>
      <c r="FV4" s="144"/>
      <c r="FW4" s="144"/>
      <c r="FX4" s="144"/>
      <c r="FY4" s="144"/>
      <c r="FZ4" s="144"/>
      <c r="GA4" s="144"/>
      <c r="GB4" s="144"/>
      <c r="GC4" s="144"/>
      <c r="GD4" s="144"/>
      <c r="GE4" s="144"/>
      <c r="GF4" s="144"/>
      <c r="GG4" s="144"/>
      <c r="GH4" s="144"/>
      <c r="GI4" s="144"/>
      <c r="GJ4" s="144"/>
      <c r="GK4" s="144"/>
      <c r="GL4" s="144"/>
      <c r="GM4" s="144"/>
      <c r="GN4" s="144"/>
      <c r="GO4" s="144"/>
      <c r="GP4" s="144"/>
      <c r="GQ4" s="144"/>
      <c r="GR4" s="144"/>
      <c r="GS4" s="144"/>
      <c r="GT4" s="144"/>
      <c r="GU4" s="144"/>
      <c r="GV4" s="144"/>
      <c r="GW4" s="144"/>
      <c r="GX4" s="144"/>
      <c r="GY4" s="144"/>
      <c r="GZ4" s="144"/>
      <c r="HA4" s="144"/>
      <c r="HB4" s="144"/>
      <c r="HC4" s="144"/>
      <c r="HD4" s="144"/>
      <c r="HE4" s="144"/>
      <c r="HF4" s="144"/>
      <c r="HG4" s="144"/>
      <c r="HH4" s="144"/>
      <c r="HI4" s="144"/>
      <c r="HJ4" s="144"/>
      <c r="HK4" s="144"/>
      <c r="HL4" s="144"/>
      <c r="HM4" s="144"/>
      <c r="HN4" s="144"/>
      <c r="HO4" s="144"/>
      <c r="HP4" s="144"/>
      <c r="HQ4" s="144"/>
      <c r="HR4" s="144"/>
      <c r="HS4" s="144"/>
      <c r="HT4" s="144"/>
      <c r="HU4" s="144"/>
      <c r="HV4" s="144"/>
      <c r="HW4" s="144"/>
      <c r="HX4" s="144"/>
      <c r="HY4" s="144"/>
      <c r="HZ4" s="144"/>
      <c r="IA4" s="144"/>
      <c r="IB4" s="144"/>
      <c r="IC4" s="144"/>
      <c r="ID4" s="144"/>
      <c r="IE4" s="144"/>
      <c r="IF4" s="144"/>
      <c r="IG4" s="144"/>
      <c r="IH4" s="144"/>
      <c r="II4" s="144"/>
      <c r="IJ4" s="144"/>
      <c r="IK4" s="144"/>
      <c r="IL4" s="144"/>
      <c r="IM4" s="144"/>
      <c r="IN4" s="144"/>
      <c r="IO4" s="144"/>
      <c r="IP4" s="144"/>
      <c r="IQ4" s="144"/>
      <c r="IR4" s="144"/>
      <c r="IS4" s="144"/>
      <c r="IT4" s="144"/>
      <c r="IU4" s="144"/>
      <c r="IV4" s="144"/>
      <c r="IW4" s="144"/>
      <c r="IX4" s="144"/>
      <c r="IY4" s="144"/>
    </row>
    <row r="5" spans="1:259" s="1740" customFormat="1" ht="14.25" customHeight="1">
      <c r="A5" s="1057"/>
      <c r="B5" s="1062"/>
      <c r="C5" s="1057"/>
      <c r="D5" s="1407"/>
      <c r="E5" s="435"/>
      <c r="F5" s="435"/>
      <c r="G5" s="435"/>
      <c r="H5" s="435"/>
      <c r="I5" s="435"/>
      <c r="J5" s="435"/>
      <c r="K5" s="435"/>
      <c r="L5" s="435"/>
      <c r="M5" s="435"/>
      <c r="N5" s="435"/>
      <c r="O5" s="435"/>
      <c r="P5" s="162"/>
      <c r="Q5" s="426"/>
      <c r="R5" s="426"/>
      <c r="S5" s="426"/>
      <c r="T5" s="143"/>
      <c r="U5" s="426"/>
      <c r="V5" s="142"/>
      <c r="W5" s="142"/>
      <c r="X5" s="142"/>
      <c r="Y5" s="142"/>
    </row>
    <row r="6" spans="1:259" s="1740" customFormat="1" ht="25.5" customHeight="1">
      <c r="A6" s="1057"/>
      <c r="B6" s="1062"/>
      <c r="C6" s="1057"/>
      <c r="D6" s="1407"/>
      <c r="E6" s="1860" t="s">
        <v>2118</v>
      </c>
      <c r="F6" s="1860"/>
      <c r="G6" s="1860"/>
      <c r="H6" s="1860"/>
      <c r="I6" s="1860"/>
      <c r="J6" s="1860"/>
      <c r="K6" s="1860"/>
      <c r="L6" s="1860"/>
      <c r="M6" s="1860"/>
      <c r="N6" s="1860"/>
      <c r="O6" s="1860"/>
      <c r="P6" s="162"/>
      <c r="Q6" s="426"/>
      <c r="R6" s="426"/>
      <c r="S6" s="426"/>
      <c r="T6" s="143"/>
      <c r="U6" s="426"/>
      <c r="V6" s="142"/>
      <c r="W6" s="142"/>
      <c r="X6" s="142"/>
      <c r="Y6" s="142"/>
    </row>
    <row r="7" spans="1:259" s="1740" customFormat="1" ht="14.25" customHeight="1">
      <c r="A7" s="1057"/>
      <c r="B7" s="1062"/>
      <c r="C7" s="1057"/>
      <c r="D7" s="1407"/>
      <c r="E7" s="435"/>
      <c r="F7" s="435"/>
      <c r="G7" s="85"/>
      <c r="H7" s="85"/>
      <c r="I7" s="85"/>
      <c r="J7" s="85"/>
      <c r="K7" s="85"/>
      <c r="L7" s="85"/>
      <c r="M7" s="85"/>
      <c r="N7" s="85"/>
      <c r="O7" s="85"/>
      <c r="P7" s="426"/>
      <c r="Q7" s="426"/>
      <c r="R7" s="426"/>
      <c r="S7" s="426"/>
      <c r="T7" s="143"/>
      <c r="U7" s="426"/>
      <c r="V7" s="142"/>
      <c r="W7" s="142"/>
      <c r="X7" s="142"/>
      <c r="Y7" s="142"/>
    </row>
    <row r="8" spans="1:259" s="1465" customFormat="1" ht="42.75" customHeight="1">
      <c r="A8" s="1381"/>
      <c r="B8" s="1390"/>
      <c r="C8" s="1381"/>
      <c r="D8" s="1407"/>
      <c r="E8" s="1470" t="s">
        <v>292</v>
      </c>
      <c r="F8" s="1470"/>
      <c r="G8" s="1471" t="s">
        <v>296</v>
      </c>
      <c r="H8" s="1471" t="s">
        <v>2119</v>
      </c>
      <c r="I8" s="1471" t="s">
        <v>300</v>
      </c>
      <c r="J8" s="2260"/>
      <c r="K8" s="2261"/>
      <c r="L8" s="2262"/>
      <c r="M8" s="1471" t="s">
        <v>2120</v>
      </c>
      <c r="N8" s="1471" t="s">
        <v>2121</v>
      </c>
      <c r="O8" s="1471" t="s">
        <v>2122</v>
      </c>
      <c r="P8" s="1462"/>
      <c r="Q8" s="1462"/>
      <c r="R8" s="1462"/>
      <c r="S8" s="1462"/>
      <c r="T8" s="1463"/>
      <c r="U8" s="1462"/>
      <c r="V8" s="1464"/>
      <c r="W8" s="1464"/>
      <c r="X8" s="1464"/>
      <c r="Y8" s="1464"/>
    </row>
    <row r="9" spans="1:259" s="1740" customFormat="1" ht="47.25" customHeight="1">
      <c r="A9" s="1057"/>
      <c r="B9" s="1062"/>
      <c r="C9" s="1057"/>
      <c r="D9" s="1407"/>
      <c r="E9" s="1984" t="s">
        <v>291</v>
      </c>
      <c r="F9" s="2251" t="s">
        <v>88</v>
      </c>
      <c r="G9" s="2251" t="s">
        <v>295</v>
      </c>
      <c r="H9" s="2251" t="s">
        <v>2123</v>
      </c>
      <c r="I9" s="2251"/>
      <c r="J9" s="2251" t="s">
        <v>2124</v>
      </c>
      <c r="K9" s="2251"/>
      <c r="L9" s="2251"/>
      <c r="M9" s="2251" t="s">
        <v>2125</v>
      </c>
      <c r="N9" s="2251" t="s">
        <v>2126</v>
      </c>
      <c r="O9" s="2251" t="str">
        <f>"Информация о докладе, содержащем результаты обобщения правоприменительной практики, в рамках регионального государственного контроля (надзора) в области регулирования "&amp;IF(TEMPLATE_SPHERE="HEAT","цен (тарифов)","тарифов")&amp;" в сфере "&amp;TEMPLATE_SPHERE_RUS&amp;" в случае, если региональный государственный контроль (надзор) в области регулирования "&amp;IF(TEMPLATE_SPHERE="HEAT","цен (тарифов)","тарифов")&amp;" в сфере "&amp;TEMPLATE_SPHERE_RUS&amp;" в соответствии с положением, утвержденным высшим исполнительным органом субъекта Российской Федерации, осуществляется "&amp;IF(TEMPLATE_SPHERE="TKO","региональным органом регулирования (раскрывается региональным органом регулирования)","исполнительным органом субъекта Российской Федерации в области государственного регулирования "&amp;IF(TEMPLATE_SPHERE="HEAT","цен (тарифов)","тарифов")&amp;" (раскрывается исполнительным органом субъекта Российской Федерации в области государственного регулирования "&amp;IF(TEMPLATE_SPHERE="HEAT","цен (тарифов)","тарифов")&amp;")")</f>
        <v>Информация о докладе, содержащем результаты обобщения правоприменительной практики, в рамках регионального государственного контроля (надзора) в области регулирования тарифов в сфере холодного водоснабжения в случае, если региональный государственный контроль (надзор) в области регулирования тарифов в сфере холодного водоснабжения в соответствии с положением, утвержденным высшим исполнительным органом субъекта Российской Федерации, осуществляется исполнительным органом субъекта Российской Федерации в области государственного регулирования тарифов (раскрывается исполнительным органом субъекта Российской Федерации в области государственного регулирования тарифов)</v>
      </c>
      <c r="P9" s="426"/>
      <c r="Q9" s="426"/>
      <c r="R9" s="426"/>
      <c r="S9" s="426"/>
      <c r="T9" s="143"/>
      <c r="U9" s="426"/>
      <c r="V9" s="142"/>
      <c r="W9" s="142"/>
      <c r="X9" s="142"/>
      <c r="Y9" s="142"/>
    </row>
    <row r="10" spans="1:259" s="1740" customFormat="1" ht="63.75" customHeight="1">
      <c r="A10" s="1057"/>
      <c r="B10" s="1062"/>
      <c r="C10" s="1057"/>
      <c r="D10" s="1407"/>
      <c r="E10" s="1874"/>
      <c r="F10" s="2259"/>
      <c r="G10" s="2259"/>
      <c r="H10" s="90" t="s">
        <v>2127</v>
      </c>
      <c r="I10" s="90" t="s">
        <v>299</v>
      </c>
      <c r="J10" s="2250"/>
      <c r="K10" s="2250"/>
      <c r="L10" s="2259"/>
      <c r="M10" s="2259"/>
      <c r="N10" s="2259"/>
      <c r="O10" s="2259"/>
      <c r="P10" s="426"/>
      <c r="Q10" s="426"/>
      <c r="R10" s="426"/>
      <c r="S10" s="426"/>
      <c r="T10" s="143"/>
      <c r="U10" s="426"/>
      <c r="V10" s="142"/>
      <c r="W10" s="142"/>
      <c r="X10" s="142"/>
      <c r="Y10" s="142"/>
    </row>
    <row r="11" spans="1:259" s="1807" customFormat="1" ht="22.5" customHeight="1">
      <c r="A11" s="1859">
        <v>26379339</v>
      </c>
      <c r="B11" s="1062">
        <v>1</v>
      </c>
      <c r="C11" s="1062"/>
      <c r="D11" s="714"/>
      <c r="E11" s="1984"/>
      <c r="F11" s="1984">
        <v>1</v>
      </c>
      <c r="G11" s="2257" t="str">
        <f>IF(region_name="","",region_name)</f>
        <v>Белгородская область</v>
      </c>
      <c r="H11" s="2258"/>
      <c r="I11" s="2263"/>
      <c r="J11" s="400"/>
      <c r="K11" s="1396">
        <v>1</v>
      </c>
      <c r="L11" s="1472"/>
      <c r="M11" s="1458"/>
      <c r="N11" s="1458"/>
      <c r="O11" s="1457"/>
      <c r="P11" s="1447" t="e">
        <f ca="1">MERGEVALUE(G11)</f>
        <v>#NAME?</v>
      </c>
      <c r="Q11" s="437"/>
      <c r="R11" s="437"/>
      <c r="S11" s="426" t="str">
        <f t="array" ref="S11">IF(ISERROR(MATCH(MID(T11,1,250),MID(note_ter,1,250),0)),"n","y")</f>
        <v>n</v>
      </c>
      <c r="T11" s="437"/>
      <c r="U11" s="426"/>
      <c r="V11" s="1062"/>
      <c r="W11" s="1062"/>
      <c r="X11" s="349"/>
      <c r="Y11" s="1062"/>
      <c r="Z11" s="1062"/>
      <c r="AA11" s="1062"/>
      <c r="AB11" s="351"/>
      <c r="AC11" s="351"/>
      <c r="AD11" s="348"/>
      <c r="AE11" s="348"/>
      <c r="AF11" s="348"/>
      <c r="AG11" s="348"/>
      <c r="AH11" s="348"/>
      <c r="AI11" s="348"/>
      <c r="AJ11" s="348"/>
      <c r="AK11" s="348"/>
      <c r="AL11" s="348"/>
      <c r="AM11" s="348"/>
      <c r="AN11" s="348"/>
      <c r="AO11" s="348"/>
      <c r="AP11" s="348"/>
      <c r="AQ11" s="348"/>
      <c r="AR11" s="348"/>
      <c r="AS11" s="348"/>
      <c r="AT11" s="348"/>
      <c r="AU11" s="348"/>
      <c r="AV11" s="348"/>
      <c r="AW11" s="348"/>
      <c r="AX11" s="348"/>
      <c r="AY11" s="348"/>
      <c r="AZ11" s="348"/>
      <c r="BA11" s="348"/>
      <c r="BB11" s="348"/>
      <c r="BC11" s="348"/>
      <c r="BD11" s="348"/>
      <c r="BE11" s="348"/>
      <c r="BF11" s="348"/>
      <c r="BG11" s="348"/>
      <c r="BH11" s="348"/>
      <c r="BI11" s="348"/>
      <c r="BJ11" s="348"/>
      <c r="BK11" s="348"/>
      <c r="BL11" s="348"/>
      <c r="BM11" s="348"/>
      <c r="BN11" s="348"/>
      <c r="BO11" s="348"/>
      <c r="BP11" s="348"/>
      <c r="BQ11" s="348"/>
      <c r="BR11" s="348"/>
      <c r="BS11" s="348"/>
      <c r="BT11" s="348"/>
      <c r="BU11" s="348"/>
      <c r="BV11" s="348"/>
      <c r="BW11" s="348"/>
      <c r="BX11" s="348"/>
      <c r="BY11" s="351"/>
      <c r="BZ11" s="351"/>
      <c r="CA11" s="351"/>
      <c r="CB11" s="351"/>
      <c r="CC11" s="351"/>
      <c r="CD11" s="351"/>
      <c r="CE11" s="351"/>
      <c r="CF11" s="351"/>
      <c r="CG11" s="351"/>
      <c r="CH11" s="351"/>
    </row>
    <row r="12" spans="1:259" s="1807" customFormat="1" ht="22.5" customHeight="1">
      <c r="A12" s="1859"/>
      <c r="B12" s="1062"/>
      <c r="C12" s="1062"/>
      <c r="D12" s="714"/>
      <c r="E12" s="1984"/>
      <c r="F12" s="1984"/>
      <c r="G12" s="2257"/>
      <c r="H12" s="2258"/>
      <c r="I12" s="2053"/>
      <c r="J12" s="1456"/>
      <c r="K12" s="1412"/>
      <c r="L12" s="1412" t="s">
        <v>2117</v>
      </c>
      <c r="M12" s="1459"/>
      <c r="N12" s="1459"/>
      <c r="O12" s="1460"/>
      <c r="P12" s="1447"/>
      <c r="Q12" s="437"/>
      <c r="R12" s="437"/>
      <c r="S12" s="426"/>
      <c r="T12" s="437"/>
      <c r="U12" s="426"/>
      <c r="V12" s="1062"/>
      <c r="W12" s="1062"/>
      <c r="X12" s="349"/>
      <c r="Y12" s="1062"/>
      <c r="Z12" s="1062"/>
      <c r="AA12" s="1062"/>
      <c r="AB12" s="351"/>
      <c r="AC12" s="351"/>
      <c r="AD12" s="348"/>
      <c r="AE12" s="348"/>
      <c r="AF12" s="348"/>
      <c r="AG12" s="348"/>
      <c r="AH12" s="348"/>
      <c r="AI12" s="348"/>
      <c r="AJ12" s="348"/>
      <c r="AK12" s="348"/>
      <c r="AL12" s="348"/>
      <c r="AM12" s="348"/>
      <c r="AN12" s="348"/>
      <c r="AO12" s="348"/>
      <c r="AP12" s="348"/>
      <c r="AQ12" s="348"/>
      <c r="AR12" s="348"/>
      <c r="AS12" s="348"/>
      <c r="AT12" s="348"/>
      <c r="AU12" s="348"/>
      <c r="AV12" s="348"/>
      <c r="AW12" s="348"/>
      <c r="AX12" s="348"/>
      <c r="AY12" s="348"/>
      <c r="AZ12" s="348"/>
      <c r="BA12" s="348"/>
      <c r="BB12" s="348"/>
      <c r="BC12" s="348"/>
      <c r="BD12" s="348"/>
      <c r="BE12" s="348"/>
      <c r="BF12" s="348"/>
      <c r="BG12" s="348"/>
      <c r="BH12" s="348"/>
      <c r="BI12" s="348"/>
      <c r="BJ12" s="348"/>
      <c r="BK12" s="348"/>
      <c r="BL12" s="348"/>
      <c r="BM12" s="348"/>
      <c r="BN12" s="348"/>
      <c r="BO12" s="348"/>
      <c r="BP12" s="348"/>
      <c r="BQ12" s="348"/>
      <c r="BR12" s="348"/>
      <c r="BS12" s="348"/>
      <c r="BT12" s="348"/>
      <c r="BU12" s="348"/>
      <c r="BV12" s="348"/>
      <c r="BW12" s="348"/>
      <c r="BX12" s="348"/>
      <c r="BY12" s="351"/>
      <c r="BZ12" s="351"/>
      <c r="CA12" s="351"/>
      <c r="CB12" s="351"/>
      <c r="CC12" s="351"/>
      <c r="CD12" s="351"/>
      <c r="CE12" s="351"/>
      <c r="CF12" s="351"/>
      <c r="CG12" s="351"/>
      <c r="CH12" s="351"/>
    </row>
    <row r="13" spans="1:259" s="1807" customFormat="1" ht="22.5" customHeight="1">
      <c r="A13" s="1859"/>
      <c r="B13" s="1062"/>
      <c r="C13" s="342"/>
      <c r="D13" s="714"/>
      <c r="E13" s="1453"/>
      <c r="F13" s="1456"/>
      <c r="G13" s="1412" t="s">
        <v>2111</v>
      </c>
      <c r="H13" s="1454"/>
      <c r="I13" s="1454"/>
      <c r="J13" s="105"/>
      <c r="K13" s="105"/>
      <c r="L13" s="105"/>
      <c r="M13" s="105"/>
      <c r="N13" s="105"/>
      <c r="O13" s="1455"/>
      <c r="P13" s="1448"/>
      <c r="Q13" s="437"/>
      <c r="R13" s="437"/>
      <c r="S13" s="437"/>
      <c r="T13" s="426"/>
      <c r="U13" s="437"/>
      <c r="V13" s="1062"/>
      <c r="W13" s="1062"/>
      <c r="X13" s="349"/>
      <c r="Y13" s="1062"/>
      <c r="Z13" s="1062"/>
      <c r="AA13" s="1062"/>
      <c r="AB13" s="351"/>
      <c r="AC13" s="351"/>
      <c r="AD13" s="348"/>
      <c r="AE13" s="348"/>
      <c r="AF13" s="348"/>
      <c r="AG13" s="348"/>
      <c r="AH13" s="348"/>
      <c r="AI13" s="348"/>
      <c r="AJ13" s="348"/>
      <c r="AK13" s="348"/>
      <c r="AL13" s="348"/>
      <c r="AM13" s="348"/>
      <c r="AN13" s="348"/>
      <c r="AO13" s="348"/>
      <c r="AP13" s="348"/>
      <c r="AQ13" s="348"/>
      <c r="AR13" s="348"/>
      <c r="AS13" s="348"/>
      <c r="AT13" s="348"/>
      <c r="AU13" s="348"/>
      <c r="AV13" s="348"/>
      <c r="AW13" s="348"/>
      <c r="AX13" s="348"/>
      <c r="AY13" s="348"/>
      <c r="AZ13" s="348"/>
      <c r="BA13" s="348"/>
      <c r="BB13" s="348"/>
      <c r="BC13" s="348"/>
      <c r="BD13" s="348"/>
      <c r="BE13" s="348"/>
      <c r="BF13" s="348"/>
      <c r="BG13" s="348"/>
      <c r="BH13" s="348"/>
      <c r="BI13" s="348"/>
      <c r="BJ13" s="348"/>
      <c r="BK13" s="348"/>
      <c r="BL13" s="348"/>
      <c r="BM13" s="348"/>
      <c r="BN13" s="348"/>
      <c r="BO13" s="348"/>
      <c r="BP13" s="348"/>
      <c r="BQ13" s="348"/>
      <c r="BR13" s="348"/>
      <c r="BS13" s="348"/>
      <c r="BT13" s="348"/>
      <c r="BU13" s="348"/>
      <c r="BV13" s="348"/>
      <c r="BW13" s="348"/>
      <c r="BX13" s="348"/>
      <c r="BY13" s="351"/>
      <c r="BZ13" s="351"/>
      <c r="CA13" s="351"/>
      <c r="CB13" s="351"/>
      <c r="CC13" s="351"/>
      <c r="CD13" s="351"/>
      <c r="CE13" s="351"/>
      <c r="CF13" s="351"/>
      <c r="CG13" s="351"/>
      <c r="CH13" s="351"/>
    </row>
    <row r="14" spans="1:259" s="1740" customFormat="1" ht="21" customHeight="1">
      <c r="A14" s="1057"/>
      <c r="B14" s="1062"/>
      <c r="C14" s="1057"/>
      <c r="D14" s="378"/>
      <c r="E14" s="98"/>
      <c r="F14" s="98"/>
      <c r="G14" s="98"/>
      <c r="H14" s="98"/>
      <c r="I14" s="98"/>
      <c r="J14" s="98"/>
      <c r="K14" s="98"/>
      <c r="L14" s="98"/>
      <c r="M14" s="98"/>
      <c r="N14" s="435"/>
      <c r="O14" s="435"/>
      <c r="P14" s="426"/>
      <c r="Q14" s="426"/>
      <c r="R14" s="426"/>
      <c r="S14" s="426"/>
      <c r="T14" s="143"/>
      <c r="U14" s="426"/>
      <c r="V14" s="142"/>
      <c r="W14" s="142"/>
      <c r="X14" s="142"/>
      <c r="Y14" s="142"/>
    </row>
    <row r="15" spans="1:259" s="1740" customFormat="1" ht="14.25" customHeight="1">
      <c r="A15" s="1057"/>
      <c r="B15" s="1062"/>
      <c r="C15" s="1057"/>
      <c r="D15" s="378"/>
      <c r="E15" s="1057"/>
      <c r="F15" s="1057"/>
      <c r="G15" s="1057"/>
      <c r="H15" s="1057"/>
      <c r="I15" s="1057"/>
      <c r="J15" s="1057"/>
      <c r="K15" s="1057"/>
      <c r="L15" s="1057"/>
      <c r="M15" s="1057"/>
      <c r="N15" s="1057"/>
      <c r="O15" s="1057"/>
      <c r="P15" s="426"/>
      <c r="Q15" s="426"/>
      <c r="R15" s="426"/>
      <c r="S15" s="426"/>
      <c r="T15" s="143"/>
      <c r="U15" s="426"/>
      <c r="V15" s="142"/>
      <c r="W15" s="142"/>
      <c r="X15" s="142"/>
      <c r="Y15" s="142"/>
    </row>
    <row r="16" spans="1:259" s="1740" customFormat="1" ht="0.75" customHeight="1">
      <c r="A16" s="1057"/>
      <c r="B16" s="1062"/>
      <c r="C16" s="1057"/>
      <c r="D16" s="378"/>
      <c r="E16" s="1057"/>
      <c r="F16" s="1057"/>
      <c r="G16" s="1057"/>
      <c r="H16" s="1057"/>
      <c r="I16" s="1057"/>
      <c r="J16" s="1057"/>
      <c r="K16" s="1057"/>
      <c r="L16" s="1057"/>
      <c r="M16" s="1057"/>
      <c r="N16" s="1057"/>
      <c r="O16" s="1057"/>
      <c r="P16" s="426"/>
      <c r="Q16" s="426"/>
      <c r="R16" s="426"/>
      <c r="S16" s="426"/>
      <c r="T16" s="143"/>
      <c r="U16" s="426"/>
      <c r="V16" s="142"/>
      <c r="W16" s="142"/>
      <c r="X16" s="142"/>
      <c r="Y16" s="142"/>
    </row>
  </sheetData>
  <sheetProtection formatColumns="0" formatRows="0" insertRows="0" deleteColumns="0" deleteRows="0" sort="0" autoFilter="0"/>
  <mergeCells count="21">
    <mergeCell ref="A11:A13"/>
    <mergeCell ref="E11:E12"/>
    <mergeCell ref="G11:G12"/>
    <mergeCell ref="H11:H12"/>
    <mergeCell ref="E6:O6"/>
    <mergeCell ref="E9:E10"/>
    <mergeCell ref="G9:G10"/>
    <mergeCell ref="M9:M10"/>
    <mergeCell ref="F9:F10"/>
    <mergeCell ref="F11:F12"/>
    <mergeCell ref="J8:L8"/>
    <mergeCell ref="N9:N10"/>
    <mergeCell ref="O9:O10"/>
    <mergeCell ref="I11:I12"/>
    <mergeCell ref="H9:I9"/>
    <mergeCell ref="J9:L10"/>
    <mergeCell ref="E2:E3"/>
    <mergeCell ref="F2:F3"/>
    <mergeCell ref="G2:G3"/>
    <mergeCell ref="H2:H3"/>
    <mergeCell ref="I2:I3"/>
  </mergeCells>
  <dataValidations count="1">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M2:O4 L2 O11 M12:O12">
      <formula1>900</formula1>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CCFF"/>
    <pageSetUpPr fitToPage="1"/>
  </sheetPr>
  <dimension ref="A1:L12"/>
  <sheetViews>
    <sheetView showGridLines="0" topLeftCell="C6" zoomScale="90" workbookViewId="0"/>
  </sheetViews>
  <sheetFormatPr defaultColWidth="9.140625" defaultRowHeight="14.25" customHeight="1"/>
  <cols>
    <col min="1" max="2" width="9.140625" style="179" hidden="1"/>
    <col min="3" max="3" width="3.7109375" style="20" customWidth="1"/>
    <col min="4" max="4" width="6.28515625" style="179" customWidth="1"/>
    <col min="5" max="5" width="94.85546875" style="179" customWidth="1"/>
    <col min="6" max="12" width="9.140625" style="179"/>
  </cols>
  <sheetData>
    <row r="1" spans="3:6" ht="14.25" hidden="1" customHeight="1"/>
    <row r="2" spans="3:6" ht="14.25" hidden="1" customHeight="1"/>
    <row r="3" spans="3:6" ht="14.25" hidden="1" customHeight="1"/>
    <row r="4" spans="3:6" ht="14.25" hidden="1" customHeight="1"/>
    <row r="5" spans="3:6" ht="14.25" hidden="1" customHeight="1"/>
    <row r="6" spans="3:6" ht="3" customHeight="1">
      <c r="C6" s="21"/>
      <c r="D6" s="3"/>
      <c r="E6" s="3"/>
    </row>
    <row r="7" spans="3:6" ht="22.5" customHeight="1">
      <c r="C7" s="21"/>
      <c r="D7" s="1860" t="s">
        <v>2128</v>
      </c>
      <c r="E7" s="1860"/>
      <c r="F7" s="182"/>
    </row>
    <row r="8" spans="3:6" ht="3" customHeight="1">
      <c r="C8" s="21"/>
      <c r="D8" s="3"/>
      <c r="E8" s="3"/>
    </row>
    <row r="9" spans="3:6" ht="15.75" customHeight="1">
      <c r="C9" s="21"/>
      <c r="D9" s="32" t="s">
        <v>88</v>
      </c>
      <c r="E9" s="35" t="s">
        <v>278</v>
      </c>
    </row>
    <row r="10" spans="3:6" ht="12" customHeight="1">
      <c r="C10" s="21"/>
      <c r="D10" s="18" t="s">
        <v>109</v>
      </c>
      <c r="E10" s="18" t="s">
        <v>110</v>
      </c>
    </row>
    <row r="11" spans="3:6" ht="15" hidden="1" customHeight="1">
      <c r="C11" s="21"/>
      <c r="D11" s="39">
        <v>0</v>
      </c>
      <c r="E11" s="69"/>
    </row>
    <row r="12" spans="3:6" ht="14.25" customHeight="1">
      <c r="C12" s="21"/>
      <c r="D12" s="36"/>
      <c r="E12" s="34" t="s">
        <v>2088</v>
      </c>
    </row>
  </sheetData>
  <sheetProtection formatColumns="0" formatRows="0" insertRows="0" deleteColumns="0" deleteRows="0" sort="0" autoFilter="0"/>
  <mergeCells count="1">
    <mergeCell ref="D7:E7"/>
  </mergeCells>
  <dataValidations count="1">
    <dataValidation type="textLength" operator="lessThanOrEqual" allowBlank="1" showInputMessage="1" showErrorMessage="1" errorTitle="Ошибка" error="Допускается ввод не более 900 символов!" sqref="E11">
      <formula1>900</formula1>
    </dataValidation>
  </dataValidations>
  <pageMargins left="0.75" right="0.75" top="1" bottom="1" header="0.5" footer="0.5"/>
  <pageSetup paperSize="9" scale="94" orientation="portrait"/>
  <headerFooter>
    <oddHeader>&amp;L&amp;C&amp;R</oddHeader>
    <oddFooter>&amp;L&amp;C&amp;R</oddFooter>
    <evenHeader>&amp;L&amp;C&amp;R</evenHeader>
    <evenFooter>&amp;L&amp;C&amp;R</evenFooter>
  </headerFooter>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CCFF"/>
  </sheetPr>
  <dimension ref="A1:E4"/>
  <sheetViews>
    <sheetView showGridLines="0" zoomScale="90" workbookViewId="0"/>
  </sheetViews>
  <sheetFormatPr defaultColWidth="9.140625" defaultRowHeight="11.25" customHeight="1"/>
  <cols>
    <col min="1" max="1" width="1.7109375" style="1807" customWidth="1"/>
    <col min="2" max="2" width="34.5703125" style="1807" customWidth="1"/>
    <col min="3" max="3" width="85.5703125" style="1807" customWidth="1"/>
    <col min="4" max="4" width="17.7109375" style="1807" customWidth="1"/>
    <col min="5" max="5" width="9.140625" style="1807"/>
  </cols>
  <sheetData>
    <row r="1" spans="2:5" ht="3" customHeight="1"/>
    <row r="2" spans="2:5" ht="22.5" customHeight="1">
      <c r="B2" s="2264" t="s">
        <v>2129</v>
      </c>
      <c r="C2" s="2264"/>
      <c r="D2" s="2264"/>
      <c r="E2" s="183"/>
    </row>
    <row r="3" spans="2:5" ht="3" customHeight="1"/>
    <row r="4" spans="2:5" ht="21.75" customHeight="1">
      <c r="B4" s="1835" t="s">
        <v>2130</v>
      </c>
      <c r="C4" s="312" t="s">
        <v>2131</v>
      </c>
      <c r="D4" s="312" t="s">
        <v>2132</v>
      </c>
    </row>
  </sheetData>
  <sheetProtection formatColumns="0" formatRows="0" insertRows="0" deleteColumns="0" deleteRows="0" sort="0" autoFilter="0"/>
  <autoFilter ref="B4:D4"/>
  <mergeCells count="1">
    <mergeCell ref="B2:D2"/>
  </mergeCell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1"/>
  <sheetViews>
    <sheetView showGridLines="0" workbookViewId="0"/>
  </sheetViews>
  <sheetFormatPr defaultRowHeight="11.25" customHeight="1"/>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8"/>
  <sheetViews>
    <sheetView showGridLines="0" workbookViewId="0"/>
  </sheetViews>
  <sheetFormatPr defaultRowHeight="11.25" customHeight="1"/>
  <cols>
    <col min="1" max="1" width="10.5703125" customWidth="1"/>
    <col min="2" max="2" width="8.7109375" customWidth="1"/>
    <col min="3" max="3" width="18.140625" customWidth="1"/>
    <col min="4" max="4" width="12.5703125" customWidth="1"/>
  </cols>
  <sheetData>
    <row r="1" spans="1:5" ht="11.25" customHeight="1">
      <c r="A1" s="667" t="s">
        <v>2133</v>
      </c>
      <c r="B1" s="678" t="s">
        <v>2134</v>
      </c>
      <c r="C1" s="2265" t="s">
        <v>2135</v>
      </c>
      <c r="D1" s="2266"/>
      <c r="E1" s="749" t="s">
        <v>2136</v>
      </c>
    </row>
    <row r="2" spans="1:5" ht="11.25" customHeight="1">
      <c r="A2" s="671"/>
      <c r="B2" s="679" t="s">
        <v>23</v>
      </c>
      <c r="C2" s="667"/>
      <c r="D2" s="678"/>
      <c r="E2" s="749"/>
    </row>
    <row r="3" spans="1:5" ht="11.25" customHeight="1">
      <c r="A3" s="682"/>
      <c r="B3" s="680" t="s">
        <v>29</v>
      </c>
      <c r="C3" s="667"/>
      <c r="D3" s="678"/>
      <c r="E3" s="749"/>
    </row>
    <row r="4" spans="1:5" ht="11.25" customHeight="1">
      <c r="A4" s="683"/>
      <c r="B4" s="680" t="s">
        <v>1064</v>
      </c>
      <c r="C4" s="667"/>
      <c r="D4" s="678"/>
      <c r="E4" s="749"/>
    </row>
    <row r="5" spans="1:5" ht="11.25" customHeight="1">
      <c r="A5" s="694"/>
      <c r="B5" s="680" t="s">
        <v>1057</v>
      </c>
      <c r="C5" s="670" t="s">
        <v>1312</v>
      </c>
      <c r="D5" s="793" t="s">
        <v>2137</v>
      </c>
      <c r="E5" s="749"/>
    </row>
    <row r="6" spans="1:5" s="1807" customFormat="1" ht="11.25" customHeight="1">
      <c r="A6" s="681"/>
      <c r="B6" s="680" t="s">
        <v>1070</v>
      </c>
      <c r="C6" s="667"/>
      <c r="D6" s="678"/>
      <c r="E6" s="749"/>
    </row>
    <row r="7" spans="1:5" ht="11.25" customHeight="1">
      <c r="A7" s="669"/>
      <c r="B7" s="680" t="s">
        <v>1080</v>
      </c>
      <c r="C7" s="667"/>
      <c r="D7" s="678"/>
      <c r="E7" s="749"/>
    </row>
    <row r="8" spans="1:5" ht="11.25" customHeight="1">
      <c r="A8" s="670"/>
      <c r="B8" s="680" t="s">
        <v>1075</v>
      </c>
      <c r="C8" s="667"/>
      <c r="D8" s="678"/>
      <c r="E8" s="749"/>
    </row>
  </sheetData>
  <sheetProtection formatColumns="0" formatRows="0" insertRows="0" deleteColumns="0" deleteRows="0" sort="0" autoFilter="0"/>
  <mergeCells count="1">
    <mergeCell ref="C1:D1"/>
  </mergeCell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1"/>
  <sheetViews>
    <sheetView showGridLines="0" workbookViewId="0"/>
  </sheetViews>
  <sheetFormatPr defaultRowHeight="11.25" customHeight="1"/>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1"/>
  <sheetViews>
    <sheetView showGridLines="0" workbookViewId="0"/>
  </sheetViews>
  <sheetFormatPr defaultRowHeight="11.25" customHeight="1"/>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1:I212"/>
  <sheetViews>
    <sheetView showGridLines="0" workbookViewId="0"/>
  </sheetViews>
  <sheetFormatPr defaultColWidth="9.140625" defaultRowHeight="11.25" customHeight="1"/>
  <cols>
    <col min="1" max="2" width="9.140625" style="1807"/>
    <col min="3" max="3" width="20.7109375" style="1807" customWidth="1"/>
    <col min="4" max="4" width="25.140625" style="1807" customWidth="1"/>
    <col min="5" max="9" width="9.140625" style="1807"/>
  </cols>
  <sheetData>
    <row r="1" spans="1:9" ht="11.25" customHeight="1">
      <c r="A1" t="s">
        <v>2138</v>
      </c>
      <c r="B1" t="s">
        <v>2139</v>
      </c>
      <c r="C1" t="s">
        <v>2140</v>
      </c>
      <c r="D1" t="s">
        <v>2141</v>
      </c>
      <c r="E1" t="s">
        <v>2142</v>
      </c>
      <c r="F1" t="s">
        <v>2143</v>
      </c>
      <c r="G1" t="s">
        <v>2144</v>
      </c>
      <c r="H1" t="s">
        <v>2145</v>
      </c>
      <c r="I1" t="s">
        <v>2146</v>
      </c>
    </row>
    <row r="2" spans="1:9" ht="11.25" customHeight="1">
      <c r="A2" s="1807" t="s">
        <v>2147</v>
      </c>
      <c r="B2" s="1807" t="s">
        <v>14</v>
      </c>
      <c r="C2" s="1807" t="s">
        <v>2148</v>
      </c>
      <c r="D2" s="1807" t="s">
        <v>2149</v>
      </c>
      <c r="E2" s="1807" t="s">
        <v>2150</v>
      </c>
      <c r="F2" s="1807" t="s">
        <v>2151</v>
      </c>
      <c r="G2" s="1807" t="s">
        <v>2152</v>
      </c>
      <c r="H2" s="1807" t="s">
        <v>18</v>
      </c>
      <c r="I2" s="1807" t="s">
        <v>595</v>
      </c>
    </row>
    <row r="3" spans="1:9" ht="11.25" customHeight="1">
      <c r="A3" s="1807" t="s">
        <v>2147</v>
      </c>
      <c r="B3" s="1807" t="s">
        <v>14</v>
      </c>
      <c r="C3" s="1807" t="s">
        <v>2153</v>
      </c>
      <c r="D3" s="1807" t="s">
        <v>2154</v>
      </c>
      <c r="E3" s="1807" t="s">
        <v>2155</v>
      </c>
      <c r="F3" s="1807" t="s">
        <v>2156</v>
      </c>
      <c r="G3" s="1807" t="s">
        <v>18</v>
      </c>
      <c r="H3" s="1807" t="s">
        <v>18</v>
      </c>
      <c r="I3" s="1807" t="s">
        <v>595</v>
      </c>
    </row>
    <row r="4" spans="1:9" ht="11.25" customHeight="1">
      <c r="A4" s="1807" t="s">
        <v>2147</v>
      </c>
      <c r="B4" s="1807" t="s">
        <v>14</v>
      </c>
      <c r="C4" s="1807" t="s">
        <v>2157</v>
      </c>
      <c r="D4" s="1807" t="s">
        <v>2158</v>
      </c>
      <c r="E4" s="1807" t="s">
        <v>2159</v>
      </c>
      <c r="F4" s="1807" t="s">
        <v>2156</v>
      </c>
      <c r="G4" s="1807" t="s">
        <v>18</v>
      </c>
      <c r="H4" s="1807" t="s">
        <v>18</v>
      </c>
      <c r="I4" s="1807" t="s">
        <v>595</v>
      </c>
    </row>
    <row r="5" spans="1:9" ht="11.25" customHeight="1">
      <c r="A5" s="1807" t="s">
        <v>2147</v>
      </c>
      <c r="B5" s="1807" t="s">
        <v>14</v>
      </c>
      <c r="C5" s="1807" t="s">
        <v>2160</v>
      </c>
      <c r="D5" s="1807" t="s">
        <v>2161</v>
      </c>
      <c r="E5" s="1807" t="s">
        <v>2162</v>
      </c>
      <c r="F5" s="1807" t="s">
        <v>2151</v>
      </c>
      <c r="G5" s="1807" t="s">
        <v>18</v>
      </c>
      <c r="H5" s="1807" t="s">
        <v>18</v>
      </c>
      <c r="I5" s="1807" t="s">
        <v>595</v>
      </c>
    </row>
    <row r="6" spans="1:9" ht="11.25" customHeight="1">
      <c r="A6" s="1807" t="s">
        <v>2147</v>
      </c>
      <c r="B6" s="1807" t="s">
        <v>14</v>
      </c>
      <c r="C6" s="1807" t="s">
        <v>2163</v>
      </c>
      <c r="D6" s="1807" t="s">
        <v>2164</v>
      </c>
      <c r="E6" s="1807" t="s">
        <v>2165</v>
      </c>
      <c r="F6" s="1807" t="s">
        <v>2166</v>
      </c>
      <c r="G6" s="1807" t="s">
        <v>2167</v>
      </c>
      <c r="H6" s="1807" t="s">
        <v>18</v>
      </c>
      <c r="I6" s="1807" t="s">
        <v>595</v>
      </c>
    </row>
    <row r="7" spans="1:9" ht="11.25" customHeight="1">
      <c r="A7" s="1807" t="s">
        <v>2147</v>
      </c>
      <c r="B7" s="1807" t="s">
        <v>14</v>
      </c>
      <c r="C7" s="1807" t="s">
        <v>2168</v>
      </c>
      <c r="D7" s="1807" t="s">
        <v>2169</v>
      </c>
      <c r="E7" s="1807" t="s">
        <v>2170</v>
      </c>
      <c r="F7" s="1807" t="s">
        <v>2171</v>
      </c>
      <c r="G7" s="1807" t="s">
        <v>18</v>
      </c>
      <c r="H7" s="1807" t="s">
        <v>18</v>
      </c>
      <c r="I7" s="1807" t="s">
        <v>595</v>
      </c>
    </row>
    <row r="8" spans="1:9" ht="11.25" customHeight="1">
      <c r="A8" s="1807" t="s">
        <v>2147</v>
      </c>
      <c r="B8" s="1807" t="s">
        <v>14</v>
      </c>
      <c r="C8" s="1807" t="s">
        <v>2172</v>
      </c>
      <c r="D8" s="1807" t="s">
        <v>2173</v>
      </c>
      <c r="E8" s="1807" t="s">
        <v>2174</v>
      </c>
      <c r="F8" s="1807" t="s">
        <v>2175</v>
      </c>
      <c r="G8" s="1807" t="s">
        <v>18</v>
      </c>
      <c r="H8" s="1807" t="s">
        <v>18</v>
      </c>
      <c r="I8" s="1807" t="s">
        <v>595</v>
      </c>
    </row>
    <row r="9" spans="1:9" ht="11.25" customHeight="1">
      <c r="A9" s="1807" t="s">
        <v>2147</v>
      </c>
      <c r="B9" s="1807" t="s">
        <v>14</v>
      </c>
      <c r="C9" s="1807" t="s">
        <v>2176</v>
      </c>
      <c r="D9" s="1807" t="s">
        <v>2177</v>
      </c>
      <c r="E9" s="1807" t="s">
        <v>2178</v>
      </c>
      <c r="F9" s="1807" t="s">
        <v>2179</v>
      </c>
      <c r="G9" s="1807" t="s">
        <v>18</v>
      </c>
      <c r="H9" s="1807" t="s">
        <v>18</v>
      </c>
      <c r="I9" s="1807" t="s">
        <v>595</v>
      </c>
    </row>
    <row r="10" spans="1:9" ht="11.25" customHeight="1">
      <c r="A10" s="1807" t="s">
        <v>2147</v>
      </c>
      <c r="B10" s="1807" t="s">
        <v>14</v>
      </c>
      <c r="C10" s="1807" t="s">
        <v>2180</v>
      </c>
      <c r="D10" s="1807" t="s">
        <v>2181</v>
      </c>
      <c r="E10" s="1807" t="s">
        <v>2182</v>
      </c>
      <c r="F10" s="1807" t="s">
        <v>2183</v>
      </c>
      <c r="G10" s="1807" t="s">
        <v>18</v>
      </c>
      <c r="H10" s="1807" t="s">
        <v>18</v>
      </c>
      <c r="I10" s="1807" t="s">
        <v>595</v>
      </c>
    </row>
    <row r="11" spans="1:9" ht="11.25" customHeight="1">
      <c r="A11" s="1807" t="s">
        <v>2147</v>
      </c>
      <c r="B11" s="1807" t="s">
        <v>14</v>
      </c>
      <c r="C11" s="1807" t="s">
        <v>2184</v>
      </c>
      <c r="D11" s="1807" t="s">
        <v>2185</v>
      </c>
      <c r="E11" s="1807" t="s">
        <v>2186</v>
      </c>
      <c r="F11" s="1807" t="s">
        <v>2187</v>
      </c>
      <c r="G11" s="1807" t="s">
        <v>2188</v>
      </c>
      <c r="H11" s="1807" t="s">
        <v>18</v>
      </c>
      <c r="I11" s="1807" t="s">
        <v>595</v>
      </c>
    </row>
    <row r="12" spans="1:9" ht="11.25" customHeight="1">
      <c r="A12" s="1807" t="s">
        <v>2147</v>
      </c>
      <c r="B12" s="1807" t="s">
        <v>14</v>
      </c>
      <c r="C12" s="1807" t="s">
        <v>2189</v>
      </c>
      <c r="D12" s="1807" t="s">
        <v>2190</v>
      </c>
      <c r="E12" s="1807" t="s">
        <v>2191</v>
      </c>
      <c r="F12" s="1807" t="s">
        <v>2183</v>
      </c>
      <c r="G12" s="1807" t="s">
        <v>18</v>
      </c>
      <c r="H12" s="1807" t="s">
        <v>18</v>
      </c>
      <c r="I12" s="1807" t="s">
        <v>595</v>
      </c>
    </row>
    <row r="13" spans="1:9" ht="11.25" customHeight="1">
      <c r="A13" s="1807" t="s">
        <v>2147</v>
      </c>
      <c r="B13" s="1807" t="s">
        <v>14</v>
      </c>
      <c r="C13" s="1807" t="s">
        <v>2192</v>
      </c>
      <c r="D13" s="1807" t="s">
        <v>2193</v>
      </c>
      <c r="E13" s="1807" t="s">
        <v>2194</v>
      </c>
      <c r="F13" s="1807" t="s">
        <v>2195</v>
      </c>
      <c r="G13" s="1807" t="s">
        <v>18</v>
      </c>
      <c r="H13" s="1807" t="s">
        <v>18</v>
      </c>
      <c r="I13" s="1807" t="s">
        <v>595</v>
      </c>
    </row>
    <row r="14" spans="1:9" ht="11.25" customHeight="1">
      <c r="A14" s="1807" t="s">
        <v>2147</v>
      </c>
      <c r="B14" s="1807" t="s">
        <v>14</v>
      </c>
      <c r="C14" s="1807" t="s">
        <v>2196</v>
      </c>
      <c r="D14" s="1807" t="s">
        <v>2197</v>
      </c>
      <c r="E14" s="1807" t="s">
        <v>2198</v>
      </c>
      <c r="F14" s="1807" t="s">
        <v>2199</v>
      </c>
      <c r="G14" s="1807" t="s">
        <v>18</v>
      </c>
      <c r="H14" s="1807" t="s">
        <v>18</v>
      </c>
      <c r="I14" s="1807" t="s">
        <v>595</v>
      </c>
    </row>
    <row r="15" spans="1:9" ht="11.25" customHeight="1">
      <c r="A15" s="1807" t="s">
        <v>2147</v>
      </c>
      <c r="B15" s="1807" t="s">
        <v>14</v>
      </c>
      <c r="C15" s="1807" t="s">
        <v>2200</v>
      </c>
      <c r="D15" s="1807" t="s">
        <v>2201</v>
      </c>
      <c r="E15" s="1807" t="s">
        <v>2202</v>
      </c>
      <c r="F15" s="1807" t="s">
        <v>2203</v>
      </c>
      <c r="G15" s="1807" t="s">
        <v>18</v>
      </c>
      <c r="H15" s="1807" t="s">
        <v>18</v>
      </c>
      <c r="I15" s="1807" t="s">
        <v>595</v>
      </c>
    </row>
    <row r="16" spans="1:9" ht="11.25" customHeight="1">
      <c r="A16" s="1807" t="s">
        <v>2147</v>
      </c>
      <c r="B16" s="1807" t="s">
        <v>14</v>
      </c>
      <c r="C16" s="1807" t="s">
        <v>2204</v>
      </c>
      <c r="D16" s="1807" t="s">
        <v>2205</v>
      </c>
      <c r="E16" s="1807" t="s">
        <v>2206</v>
      </c>
      <c r="F16" s="1807" t="s">
        <v>2207</v>
      </c>
      <c r="G16" s="1807" t="s">
        <v>2208</v>
      </c>
      <c r="H16" s="1807" t="s">
        <v>18</v>
      </c>
      <c r="I16" s="1807" t="s">
        <v>595</v>
      </c>
    </row>
    <row r="17" spans="1:9" ht="11.25" customHeight="1">
      <c r="A17" s="1807" t="s">
        <v>2147</v>
      </c>
      <c r="B17" s="1807" t="s">
        <v>14</v>
      </c>
      <c r="C17" s="1807" t="s">
        <v>2209</v>
      </c>
      <c r="D17" s="1807" t="s">
        <v>2210</v>
      </c>
      <c r="E17" s="1807" t="s">
        <v>2211</v>
      </c>
      <c r="F17" s="1807" t="s">
        <v>2212</v>
      </c>
      <c r="G17" s="1807" t="s">
        <v>18</v>
      </c>
      <c r="H17" s="1807" t="s">
        <v>18</v>
      </c>
      <c r="I17" s="1807" t="s">
        <v>595</v>
      </c>
    </row>
    <row r="18" spans="1:9" ht="11.25" customHeight="1">
      <c r="A18" s="1807" t="s">
        <v>2147</v>
      </c>
      <c r="B18" s="1807" t="s">
        <v>14</v>
      </c>
      <c r="C18" s="1807" t="s">
        <v>2213</v>
      </c>
      <c r="D18" s="1807" t="s">
        <v>2214</v>
      </c>
      <c r="E18" s="1807" t="s">
        <v>2215</v>
      </c>
      <c r="F18" s="1807" t="s">
        <v>52</v>
      </c>
      <c r="G18" s="1807" t="s">
        <v>18</v>
      </c>
      <c r="H18" s="1807" t="s">
        <v>18</v>
      </c>
      <c r="I18" s="1807" t="s">
        <v>595</v>
      </c>
    </row>
    <row r="19" spans="1:9" ht="11.25" customHeight="1">
      <c r="A19" s="1807" t="s">
        <v>2147</v>
      </c>
      <c r="B19" s="1807" t="s">
        <v>14</v>
      </c>
      <c r="C19" s="1807" t="s">
        <v>2216</v>
      </c>
      <c r="D19" s="1807" t="s">
        <v>2217</v>
      </c>
      <c r="E19" s="1807" t="s">
        <v>2218</v>
      </c>
      <c r="F19" s="1807" t="s">
        <v>52</v>
      </c>
      <c r="G19" s="1807" t="s">
        <v>18</v>
      </c>
      <c r="H19" s="1807" t="s">
        <v>18</v>
      </c>
      <c r="I19" s="1807" t="s">
        <v>595</v>
      </c>
    </row>
    <row r="20" spans="1:9" ht="11.25" customHeight="1">
      <c r="A20" s="1807" t="s">
        <v>2147</v>
      </c>
      <c r="B20" s="1807" t="s">
        <v>14</v>
      </c>
      <c r="C20" s="1807" t="s">
        <v>2219</v>
      </c>
      <c r="D20" s="1807" t="s">
        <v>2220</v>
      </c>
      <c r="E20" s="1807" t="s">
        <v>2221</v>
      </c>
      <c r="F20" s="1807" t="s">
        <v>2179</v>
      </c>
      <c r="G20" s="1807" t="s">
        <v>18</v>
      </c>
      <c r="H20" s="1807" t="s">
        <v>18</v>
      </c>
      <c r="I20" s="1807" t="s">
        <v>595</v>
      </c>
    </row>
    <row r="21" spans="1:9" ht="11.25" customHeight="1">
      <c r="A21" s="1807" t="s">
        <v>2147</v>
      </c>
      <c r="B21" s="1807" t="s">
        <v>14</v>
      </c>
      <c r="C21" s="1807" t="s">
        <v>2222</v>
      </c>
      <c r="D21" s="1807" t="s">
        <v>2223</v>
      </c>
      <c r="E21" s="1807" t="s">
        <v>2224</v>
      </c>
      <c r="F21" s="1807" t="s">
        <v>2156</v>
      </c>
      <c r="G21" s="1807" t="s">
        <v>18</v>
      </c>
      <c r="H21" s="1807" t="s">
        <v>18</v>
      </c>
      <c r="I21" s="1807" t="s">
        <v>595</v>
      </c>
    </row>
    <row r="22" spans="1:9" ht="11.25" customHeight="1">
      <c r="A22" s="1807" t="s">
        <v>2147</v>
      </c>
      <c r="B22" s="1807" t="s">
        <v>14</v>
      </c>
      <c r="C22" s="1807" t="s">
        <v>2225</v>
      </c>
      <c r="D22" s="1807" t="s">
        <v>2226</v>
      </c>
      <c r="E22" s="1807" t="s">
        <v>2227</v>
      </c>
      <c r="F22" s="1807" t="s">
        <v>2228</v>
      </c>
      <c r="G22" s="1807" t="s">
        <v>18</v>
      </c>
      <c r="H22" s="1807" t="s">
        <v>18</v>
      </c>
      <c r="I22" s="1807" t="s">
        <v>595</v>
      </c>
    </row>
    <row r="23" spans="1:9" ht="11.25" customHeight="1">
      <c r="A23" s="1807" t="s">
        <v>2147</v>
      </c>
      <c r="B23" s="1807" t="s">
        <v>14</v>
      </c>
      <c r="C23" s="1807" t="s">
        <v>2229</v>
      </c>
      <c r="D23" s="1807" t="s">
        <v>2230</v>
      </c>
      <c r="E23" s="1807" t="s">
        <v>2231</v>
      </c>
      <c r="F23" s="1807" t="s">
        <v>2232</v>
      </c>
      <c r="G23" s="1807" t="s">
        <v>18</v>
      </c>
      <c r="H23" s="1807" t="s">
        <v>18</v>
      </c>
      <c r="I23" s="1807" t="s">
        <v>595</v>
      </c>
    </row>
    <row r="24" spans="1:9" ht="11.25" customHeight="1">
      <c r="A24" s="1807" t="s">
        <v>2147</v>
      </c>
      <c r="B24" s="1807" t="s">
        <v>14</v>
      </c>
      <c r="C24" s="1807" t="s">
        <v>2233</v>
      </c>
      <c r="D24" s="1807" t="s">
        <v>2234</v>
      </c>
      <c r="E24" s="1807" t="s">
        <v>2235</v>
      </c>
      <c r="F24" s="1807" t="s">
        <v>52</v>
      </c>
      <c r="G24" s="1807" t="s">
        <v>18</v>
      </c>
      <c r="H24" s="1807" t="s">
        <v>18</v>
      </c>
      <c r="I24" s="1807" t="s">
        <v>595</v>
      </c>
    </row>
    <row r="25" spans="1:9" ht="11.25" customHeight="1">
      <c r="A25" s="1807" t="s">
        <v>2147</v>
      </c>
      <c r="B25" s="1807" t="s">
        <v>14</v>
      </c>
      <c r="C25" s="1807" t="s">
        <v>2236</v>
      </c>
      <c r="D25" s="1807" t="s">
        <v>2237</v>
      </c>
      <c r="E25" s="1807" t="s">
        <v>2238</v>
      </c>
      <c r="F25" s="1807" t="s">
        <v>2239</v>
      </c>
      <c r="G25" s="1807" t="s">
        <v>18</v>
      </c>
      <c r="H25" s="1807" t="s">
        <v>18</v>
      </c>
      <c r="I25" s="1807" t="s">
        <v>595</v>
      </c>
    </row>
    <row r="26" spans="1:9" ht="11.25" customHeight="1">
      <c r="A26" s="1807" t="s">
        <v>2147</v>
      </c>
      <c r="B26" s="1807" t="s">
        <v>14</v>
      </c>
      <c r="C26" s="1807" t="s">
        <v>2240</v>
      </c>
      <c r="D26" s="1807" t="s">
        <v>2241</v>
      </c>
      <c r="E26" s="1807" t="s">
        <v>2242</v>
      </c>
      <c r="F26" s="1807" t="s">
        <v>2243</v>
      </c>
      <c r="G26" s="1807" t="s">
        <v>18</v>
      </c>
      <c r="H26" s="1807" t="s">
        <v>18</v>
      </c>
      <c r="I26" s="1807" t="s">
        <v>595</v>
      </c>
    </row>
    <row r="27" spans="1:9" ht="11.25" customHeight="1">
      <c r="A27" s="1807" t="s">
        <v>2147</v>
      </c>
      <c r="B27" s="1807" t="s">
        <v>14</v>
      </c>
      <c r="C27" s="1807" t="s">
        <v>2244</v>
      </c>
      <c r="D27" s="1807" t="s">
        <v>2245</v>
      </c>
      <c r="E27" s="1807" t="s">
        <v>2246</v>
      </c>
      <c r="F27" s="1807" t="s">
        <v>2247</v>
      </c>
      <c r="G27" s="1807" t="s">
        <v>18</v>
      </c>
      <c r="H27" s="1807" t="s">
        <v>18</v>
      </c>
      <c r="I27" s="1807" t="s">
        <v>595</v>
      </c>
    </row>
    <row r="28" spans="1:9" ht="11.25" customHeight="1">
      <c r="A28" s="1807" t="s">
        <v>2147</v>
      </c>
      <c r="B28" s="1807" t="s">
        <v>14</v>
      </c>
      <c r="C28" s="1807" t="s">
        <v>2248</v>
      </c>
      <c r="D28" s="1807" t="s">
        <v>2249</v>
      </c>
      <c r="E28" s="1807" t="s">
        <v>2250</v>
      </c>
      <c r="F28" s="1807" t="s">
        <v>2156</v>
      </c>
      <c r="G28" s="1807" t="s">
        <v>2251</v>
      </c>
      <c r="H28" s="1807" t="s">
        <v>18</v>
      </c>
      <c r="I28" s="1807" t="s">
        <v>595</v>
      </c>
    </row>
    <row r="29" spans="1:9" ht="11.25" customHeight="1">
      <c r="A29" s="1807" t="s">
        <v>2147</v>
      </c>
      <c r="B29" s="1807" t="s">
        <v>14</v>
      </c>
      <c r="C29" s="1807" t="s">
        <v>2252</v>
      </c>
      <c r="D29" s="1807" t="s">
        <v>47</v>
      </c>
      <c r="E29" s="1807" t="s">
        <v>50</v>
      </c>
      <c r="F29" s="1807" t="s">
        <v>52</v>
      </c>
      <c r="G29" s="1807" t="s">
        <v>18</v>
      </c>
      <c r="H29" s="1807" t="s">
        <v>18</v>
      </c>
      <c r="I29" s="1807" t="s">
        <v>595</v>
      </c>
    </row>
    <row r="30" spans="1:9" ht="11.25" customHeight="1">
      <c r="A30" s="1807" t="s">
        <v>2147</v>
      </c>
      <c r="B30" s="1807" t="s">
        <v>14</v>
      </c>
      <c r="C30" s="1807" t="s">
        <v>2253</v>
      </c>
      <c r="D30" s="1807" t="s">
        <v>2254</v>
      </c>
      <c r="E30" s="1807" t="s">
        <v>2255</v>
      </c>
      <c r="F30" s="1807" t="s">
        <v>2183</v>
      </c>
      <c r="G30" s="1807" t="s">
        <v>18</v>
      </c>
      <c r="H30" s="1807" t="s">
        <v>18</v>
      </c>
      <c r="I30" s="1807" t="s">
        <v>595</v>
      </c>
    </row>
    <row r="31" spans="1:9" ht="11.25" customHeight="1">
      <c r="A31" s="1807" t="s">
        <v>2147</v>
      </c>
      <c r="B31" s="1807" t="s">
        <v>14</v>
      </c>
      <c r="C31" s="1807" t="s">
        <v>2256</v>
      </c>
      <c r="D31" s="1807" t="s">
        <v>2257</v>
      </c>
      <c r="E31" s="1807" t="s">
        <v>2258</v>
      </c>
      <c r="F31" s="1807" t="s">
        <v>2259</v>
      </c>
      <c r="G31" s="1807" t="s">
        <v>18</v>
      </c>
      <c r="H31" s="1807" t="s">
        <v>18</v>
      </c>
      <c r="I31" s="1807" t="s">
        <v>595</v>
      </c>
    </row>
    <row r="32" spans="1:9" ht="11.25" customHeight="1">
      <c r="A32" s="1807" t="s">
        <v>2147</v>
      </c>
      <c r="B32" s="1807" t="s">
        <v>14</v>
      </c>
      <c r="C32" s="1807" t="s">
        <v>2260</v>
      </c>
      <c r="D32" s="1807" t="s">
        <v>2261</v>
      </c>
      <c r="E32" s="1807" t="s">
        <v>2258</v>
      </c>
      <c r="F32" s="1807" t="s">
        <v>2262</v>
      </c>
      <c r="G32" s="1807" t="s">
        <v>2263</v>
      </c>
      <c r="H32" s="1807" t="s">
        <v>18</v>
      </c>
      <c r="I32" s="1807" t="s">
        <v>595</v>
      </c>
    </row>
    <row r="33" spans="1:9" ht="11.25" customHeight="1">
      <c r="A33" s="1807" t="s">
        <v>2147</v>
      </c>
      <c r="B33" s="1807" t="s">
        <v>14</v>
      </c>
      <c r="C33" s="1807" t="s">
        <v>2264</v>
      </c>
      <c r="D33" s="1807" t="s">
        <v>2265</v>
      </c>
      <c r="E33" s="1807" t="s">
        <v>2266</v>
      </c>
      <c r="F33" s="1807" t="s">
        <v>2156</v>
      </c>
      <c r="G33" s="1807" t="s">
        <v>18</v>
      </c>
      <c r="H33" s="1807" t="s">
        <v>18</v>
      </c>
      <c r="I33" s="1807" t="s">
        <v>595</v>
      </c>
    </row>
    <row r="34" spans="1:9" ht="11.25" customHeight="1">
      <c r="A34" s="1807" t="s">
        <v>2147</v>
      </c>
      <c r="B34" s="1807" t="s">
        <v>14</v>
      </c>
      <c r="C34" s="1807" t="s">
        <v>2267</v>
      </c>
      <c r="D34" s="1807" t="s">
        <v>2268</v>
      </c>
      <c r="E34" s="1807" t="s">
        <v>2269</v>
      </c>
      <c r="F34" s="1807" t="s">
        <v>2166</v>
      </c>
      <c r="G34" s="1807" t="s">
        <v>18</v>
      </c>
      <c r="H34" s="1807" t="s">
        <v>18</v>
      </c>
      <c r="I34" s="1807" t="s">
        <v>595</v>
      </c>
    </row>
    <row r="35" spans="1:9" ht="11.25" customHeight="1">
      <c r="A35" s="1807" t="s">
        <v>2147</v>
      </c>
      <c r="B35" s="1807" t="s">
        <v>14</v>
      </c>
      <c r="C35" s="1807" t="s">
        <v>2270</v>
      </c>
      <c r="D35" s="1807" t="s">
        <v>2271</v>
      </c>
      <c r="E35" s="1807" t="s">
        <v>2272</v>
      </c>
      <c r="F35" s="1807" t="s">
        <v>52</v>
      </c>
      <c r="G35" s="1807" t="s">
        <v>18</v>
      </c>
      <c r="H35" s="1807" t="s">
        <v>18</v>
      </c>
      <c r="I35" s="1807" t="s">
        <v>595</v>
      </c>
    </row>
    <row r="36" spans="1:9" ht="11.25" customHeight="1">
      <c r="A36" s="1807" t="s">
        <v>2147</v>
      </c>
      <c r="B36" s="1807" t="s">
        <v>14</v>
      </c>
      <c r="C36" s="1807" t="s">
        <v>2273</v>
      </c>
      <c r="D36" s="1807" t="s">
        <v>2274</v>
      </c>
      <c r="E36" s="1807" t="s">
        <v>2275</v>
      </c>
      <c r="F36" s="1807" t="s">
        <v>2276</v>
      </c>
      <c r="G36" s="1807" t="s">
        <v>18</v>
      </c>
      <c r="H36" s="1807" t="s">
        <v>18</v>
      </c>
      <c r="I36" s="1807" t="s">
        <v>595</v>
      </c>
    </row>
    <row r="37" spans="1:9" ht="11.25" customHeight="1">
      <c r="A37" s="1807" t="s">
        <v>2147</v>
      </c>
      <c r="B37" s="1807" t="s">
        <v>14</v>
      </c>
      <c r="C37" s="1807" t="s">
        <v>2277</v>
      </c>
      <c r="D37" s="1807" t="s">
        <v>2278</v>
      </c>
      <c r="E37" s="1807" t="s">
        <v>2279</v>
      </c>
      <c r="F37" s="1807" t="s">
        <v>2280</v>
      </c>
      <c r="G37" s="1807" t="s">
        <v>18</v>
      </c>
      <c r="H37" s="1807" t="s">
        <v>18</v>
      </c>
      <c r="I37" s="1807" t="s">
        <v>595</v>
      </c>
    </row>
    <row r="38" spans="1:9" ht="11.25" customHeight="1">
      <c r="A38" s="1807" t="s">
        <v>2147</v>
      </c>
      <c r="B38" s="1807" t="s">
        <v>14</v>
      </c>
      <c r="C38" s="1807" t="s">
        <v>2281</v>
      </c>
      <c r="D38" s="1807" t="s">
        <v>2282</v>
      </c>
      <c r="E38" s="1807" t="s">
        <v>2283</v>
      </c>
      <c r="F38" s="1807" t="s">
        <v>2183</v>
      </c>
      <c r="G38" s="1807" t="s">
        <v>18</v>
      </c>
      <c r="H38" s="1807" t="s">
        <v>18</v>
      </c>
      <c r="I38" s="1807" t="s">
        <v>595</v>
      </c>
    </row>
    <row r="39" spans="1:9" ht="11.25" customHeight="1">
      <c r="A39" s="1807" t="s">
        <v>2147</v>
      </c>
      <c r="B39" s="1807" t="s">
        <v>14</v>
      </c>
      <c r="C39" s="1807" t="s">
        <v>2284</v>
      </c>
      <c r="D39" s="1807" t="s">
        <v>2285</v>
      </c>
      <c r="E39" s="1807" t="s">
        <v>2286</v>
      </c>
      <c r="F39" s="1807" t="s">
        <v>52</v>
      </c>
      <c r="G39" s="1807" t="s">
        <v>18</v>
      </c>
      <c r="H39" s="1807" t="s">
        <v>18</v>
      </c>
      <c r="I39" s="1807" t="s">
        <v>595</v>
      </c>
    </row>
    <row r="40" spans="1:9" ht="11.25" customHeight="1">
      <c r="A40" s="1807" t="s">
        <v>2147</v>
      </c>
      <c r="B40" s="1807" t="s">
        <v>14</v>
      </c>
      <c r="C40" s="1807" t="s">
        <v>2287</v>
      </c>
      <c r="D40" s="1807" t="s">
        <v>2288</v>
      </c>
      <c r="E40" s="1807" t="s">
        <v>2289</v>
      </c>
      <c r="F40" s="1807" t="s">
        <v>52</v>
      </c>
      <c r="G40" s="1807" t="s">
        <v>18</v>
      </c>
      <c r="H40" s="1807" t="s">
        <v>18</v>
      </c>
      <c r="I40" s="1807" t="s">
        <v>595</v>
      </c>
    </row>
    <row r="41" spans="1:9" ht="11.25" customHeight="1">
      <c r="A41" s="1807" t="s">
        <v>2147</v>
      </c>
      <c r="B41" s="1807" t="s">
        <v>14</v>
      </c>
      <c r="C41" s="1807" t="s">
        <v>2290</v>
      </c>
      <c r="D41" s="1807" t="s">
        <v>2291</v>
      </c>
      <c r="E41" s="1807" t="s">
        <v>2292</v>
      </c>
      <c r="F41" s="1807" t="s">
        <v>2183</v>
      </c>
      <c r="G41" s="1807" t="s">
        <v>2293</v>
      </c>
      <c r="H41" s="1807" t="s">
        <v>18</v>
      </c>
      <c r="I41" s="1807" t="s">
        <v>595</v>
      </c>
    </row>
    <row r="42" spans="1:9" ht="11.25" customHeight="1">
      <c r="A42" s="1807" t="s">
        <v>2147</v>
      </c>
      <c r="B42" s="1807" t="s">
        <v>14</v>
      </c>
      <c r="C42" s="1807" t="s">
        <v>2294</v>
      </c>
      <c r="D42" s="1807" t="s">
        <v>2295</v>
      </c>
      <c r="E42" s="1807" t="s">
        <v>2296</v>
      </c>
      <c r="F42" s="1807" t="s">
        <v>2183</v>
      </c>
      <c r="G42" s="1807" t="s">
        <v>18</v>
      </c>
      <c r="H42" s="1807" t="s">
        <v>18</v>
      </c>
      <c r="I42" s="1807" t="s">
        <v>595</v>
      </c>
    </row>
    <row r="43" spans="1:9" ht="11.25" customHeight="1">
      <c r="A43" s="1807" t="s">
        <v>2147</v>
      </c>
      <c r="B43" s="1807" t="s">
        <v>14</v>
      </c>
      <c r="C43" s="1807" t="s">
        <v>2297</v>
      </c>
      <c r="D43" s="1807" t="s">
        <v>2298</v>
      </c>
      <c r="E43" s="1807" t="s">
        <v>2299</v>
      </c>
      <c r="F43" s="1807" t="s">
        <v>2183</v>
      </c>
      <c r="G43" s="1807" t="s">
        <v>18</v>
      </c>
      <c r="H43" s="1807" t="s">
        <v>18</v>
      </c>
      <c r="I43" s="1807" t="s">
        <v>595</v>
      </c>
    </row>
    <row r="44" spans="1:9" ht="11.25" customHeight="1">
      <c r="A44" s="1807" t="s">
        <v>2147</v>
      </c>
      <c r="B44" s="1807" t="s">
        <v>14</v>
      </c>
      <c r="C44" s="1807" t="s">
        <v>2300</v>
      </c>
      <c r="D44" s="1807" t="s">
        <v>2301</v>
      </c>
      <c r="E44" s="1807" t="s">
        <v>2302</v>
      </c>
      <c r="F44" s="1807" t="s">
        <v>2183</v>
      </c>
      <c r="G44" s="1807" t="s">
        <v>18</v>
      </c>
      <c r="H44" s="1807" t="s">
        <v>18</v>
      </c>
      <c r="I44" s="1807" t="s">
        <v>595</v>
      </c>
    </row>
    <row r="45" spans="1:9" ht="11.25" customHeight="1">
      <c r="A45" s="1807" t="s">
        <v>2147</v>
      </c>
      <c r="B45" s="1807" t="s">
        <v>14</v>
      </c>
      <c r="C45" s="1807" t="s">
        <v>2303</v>
      </c>
      <c r="D45" s="1807" t="s">
        <v>2304</v>
      </c>
      <c r="E45" s="1807" t="s">
        <v>2305</v>
      </c>
      <c r="F45" s="1807" t="s">
        <v>2306</v>
      </c>
      <c r="G45" s="1807" t="s">
        <v>18</v>
      </c>
      <c r="H45" s="1807" t="s">
        <v>18</v>
      </c>
      <c r="I45" s="1807" t="s">
        <v>595</v>
      </c>
    </row>
    <row r="46" spans="1:9" ht="11.25" customHeight="1">
      <c r="A46" s="1807" t="s">
        <v>2147</v>
      </c>
      <c r="B46" s="1807" t="s">
        <v>14</v>
      </c>
      <c r="C46" s="1807" t="s">
        <v>2307</v>
      </c>
      <c r="D46" s="1807" t="s">
        <v>2308</v>
      </c>
      <c r="E46" s="1807" t="s">
        <v>2309</v>
      </c>
      <c r="F46" s="1807" t="s">
        <v>2310</v>
      </c>
      <c r="G46" s="1807" t="s">
        <v>2311</v>
      </c>
      <c r="H46" s="1807" t="s">
        <v>18</v>
      </c>
      <c r="I46" s="1807" t="s">
        <v>595</v>
      </c>
    </row>
    <row r="47" spans="1:9" ht="11.25" customHeight="1">
      <c r="A47" s="1807" t="s">
        <v>2147</v>
      </c>
      <c r="B47" s="1807" t="s">
        <v>14</v>
      </c>
      <c r="C47" s="1807" t="s">
        <v>2312</v>
      </c>
      <c r="D47" s="1807" t="s">
        <v>2313</v>
      </c>
      <c r="E47" s="1807" t="s">
        <v>2314</v>
      </c>
      <c r="F47" s="1807" t="s">
        <v>2315</v>
      </c>
      <c r="G47" s="1807" t="s">
        <v>18</v>
      </c>
      <c r="H47" s="1807" t="s">
        <v>18</v>
      </c>
      <c r="I47" s="1807" t="s">
        <v>595</v>
      </c>
    </row>
    <row r="48" spans="1:9" ht="11.25" customHeight="1">
      <c r="A48" s="1807" t="s">
        <v>2147</v>
      </c>
      <c r="B48" s="1807" t="s">
        <v>14</v>
      </c>
      <c r="C48" s="1807" t="s">
        <v>2316</v>
      </c>
      <c r="D48" s="1807" t="s">
        <v>2317</v>
      </c>
      <c r="E48" s="1807" t="s">
        <v>2318</v>
      </c>
      <c r="F48" s="1807" t="s">
        <v>2319</v>
      </c>
      <c r="G48" s="1807" t="s">
        <v>18</v>
      </c>
      <c r="H48" s="1807" t="s">
        <v>18</v>
      </c>
      <c r="I48" s="1807" t="s">
        <v>595</v>
      </c>
    </row>
    <row r="49" spans="1:9" ht="11.25" customHeight="1">
      <c r="A49" s="1807" t="s">
        <v>2147</v>
      </c>
      <c r="B49" s="1807" t="s">
        <v>14</v>
      </c>
      <c r="C49" s="1807" t="s">
        <v>2320</v>
      </c>
      <c r="D49" s="1807" t="s">
        <v>2321</v>
      </c>
      <c r="E49" s="1807" t="s">
        <v>2322</v>
      </c>
      <c r="F49" s="1807" t="s">
        <v>2166</v>
      </c>
      <c r="G49" s="1807" t="s">
        <v>18</v>
      </c>
      <c r="H49" s="1807" t="s">
        <v>18</v>
      </c>
      <c r="I49" s="1807" t="s">
        <v>595</v>
      </c>
    </row>
    <row r="50" spans="1:9" ht="11.25" customHeight="1">
      <c r="A50" s="1807" t="s">
        <v>2147</v>
      </c>
      <c r="B50" s="1807" t="s">
        <v>14</v>
      </c>
      <c r="C50" s="1807" t="s">
        <v>2323</v>
      </c>
      <c r="D50" s="1807" t="s">
        <v>2324</v>
      </c>
      <c r="E50" s="1807" t="s">
        <v>2325</v>
      </c>
      <c r="F50" s="1807" t="s">
        <v>2166</v>
      </c>
      <c r="G50" s="1807" t="s">
        <v>18</v>
      </c>
      <c r="H50" s="1807" t="s">
        <v>18</v>
      </c>
      <c r="I50" s="1807" t="s">
        <v>595</v>
      </c>
    </row>
    <row r="51" spans="1:9" ht="11.25" customHeight="1">
      <c r="A51" s="1807" t="s">
        <v>2147</v>
      </c>
      <c r="B51" s="1807" t="s">
        <v>14</v>
      </c>
      <c r="C51" s="1807" t="s">
        <v>2326</v>
      </c>
      <c r="D51" s="1807" t="s">
        <v>2327</v>
      </c>
      <c r="E51" s="1807" t="s">
        <v>2328</v>
      </c>
      <c r="F51" s="1807" t="s">
        <v>2183</v>
      </c>
      <c r="G51" s="1807" t="s">
        <v>18</v>
      </c>
      <c r="H51" s="1807" t="s">
        <v>18</v>
      </c>
      <c r="I51" s="1807" t="s">
        <v>595</v>
      </c>
    </row>
    <row r="52" spans="1:9" ht="11.25" customHeight="1">
      <c r="A52" s="1807" t="s">
        <v>2147</v>
      </c>
      <c r="B52" s="1807" t="s">
        <v>14</v>
      </c>
      <c r="C52" s="1807" t="s">
        <v>2329</v>
      </c>
      <c r="D52" s="1807" t="s">
        <v>2330</v>
      </c>
      <c r="E52" s="1807" t="s">
        <v>2331</v>
      </c>
      <c r="F52" s="1807" t="s">
        <v>52</v>
      </c>
      <c r="G52" s="1807" t="s">
        <v>2332</v>
      </c>
      <c r="H52" s="1807" t="s">
        <v>18</v>
      </c>
      <c r="I52" s="1807" t="s">
        <v>595</v>
      </c>
    </row>
    <row r="53" spans="1:9" ht="11.25" customHeight="1">
      <c r="A53" s="1807" t="s">
        <v>2147</v>
      </c>
      <c r="B53" s="1807" t="s">
        <v>14</v>
      </c>
      <c r="C53" s="1807" t="s">
        <v>2333</v>
      </c>
      <c r="D53" s="1807" t="s">
        <v>2334</v>
      </c>
      <c r="E53" s="1807" t="s">
        <v>2335</v>
      </c>
      <c r="F53" s="1807" t="s">
        <v>2315</v>
      </c>
      <c r="G53" s="1807" t="s">
        <v>18</v>
      </c>
      <c r="H53" s="1807" t="s">
        <v>18</v>
      </c>
      <c r="I53" s="1807" t="s">
        <v>595</v>
      </c>
    </row>
    <row r="54" spans="1:9" ht="11.25" customHeight="1">
      <c r="A54" s="1807" t="s">
        <v>2147</v>
      </c>
      <c r="B54" s="1807" t="s">
        <v>14</v>
      </c>
      <c r="C54" s="1807" t="s">
        <v>2336</v>
      </c>
      <c r="D54" s="1807" t="s">
        <v>2337</v>
      </c>
      <c r="E54" s="1807" t="s">
        <v>2338</v>
      </c>
      <c r="F54" s="1807" t="s">
        <v>2339</v>
      </c>
      <c r="G54" s="1807" t="s">
        <v>18</v>
      </c>
      <c r="H54" s="1807" t="s">
        <v>18</v>
      </c>
      <c r="I54" s="1807" t="s">
        <v>595</v>
      </c>
    </row>
    <row r="55" spans="1:9" ht="11.25" customHeight="1">
      <c r="A55" s="1807" t="s">
        <v>2147</v>
      </c>
      <c r="B55" s="1807" t="s">
        <v>14</v>
      </c>
      <c r="C55" s="1807" t="s">
        <v>2340</v>
      </c>
      <c r="D55" s="1807" t="s">
        <v>2341</v>
      </c>
      <c r="E55" s="1807" t="s">
        <v>2342</v>
      </c>
      <c r="F55" s="1807" t="s">
        <v>2183</v>
      </c>
      <c r="G55" s="1807" t="s">
        <v>18</v>
      </c>
      <c r="H55" s="1807" t="s">
        <v>18</v>
      </c>
      <c r="I55" s="1807" t="s">
        <v>595</v>
      </c>
    </row>
    <row r="56" spans="1:9" ht="11.25" customHeight="1">
      <c r="A56" s="1807" t="s">
        <v>2147</v>
      </c>
      <c r="B56" s="1807" t="s">
        <v>14</v>
      </c>
      <c r="C56" s="1807" t="s">
        <v>2343</v>
      </c>
      <c r="D56" s="1807" t="s">
        <v>2344</v>
      </c>
      <c r="E56" s="1807" t="s">
        <v>2345</v>
      </c>
      <c r="F56" s="1807" t="s">
        <v>2183</v>
      </c>
      <c r="G56" s="1807" t="s">
        <v>18</v>
      </c>
      <c r="H56" s="1807" t="s">
        <v>18</v>
      </c>
      <c r="I56" s="1807" t="s">
        <v>595</v>
      </c>
    </row>
    <row r="57" spans="1:9" ht="11.25" customHeight="1">
      <c r="A57" s="1807" t="s">
        <v>2147</v>
      </c>
      <c r="B57" s="1807" t="s">
        <v>14</v>
      </c>
      <c r="C57" s="1807" t="s">
        <v>2346</v>
      </c>
      <c r="D57" s="1807" t="s">
        <v>2347</v>
      </c>
      <c r="E57" s="1807" t="s">
        <v>2348</v>
      </c>
      <c r="F57" s="1807" t="s">
        <v>2183</v>
      </c>
      <c r="G57" s="1807" t="s">
        <v>18</v>
      </c>
      <c r="H57" s="1807" t="s">
        <v>18</v>
      </c>
      <c r="I57" s="1807" t="s">
        <v>595</v>
      </c>
    </row>
    <row r="58" spans="1:9" ht="11.25" customHeight="1">
      <c r="A58" s="1807" t="s">
        <v>2147</v>
      </c>
      <c r="B58" s="1807" t="s">
        <v>14</v>
      </c>
      <c r="C58" s="1807" t="s">
        <v>2349</v>
      </c>
      <c r="D58" s="1807" t="s">
        <v>2350</v>
      </c>
      <c r="E58" s="1807" t="s">
        <v>2351</v>
      </c>
      <c r="F58" s="1807" t="s">
        <v>52</v>
      </c>
      <c r="G58" s="1807" t="s">
        <v>18</v>
      </c>
      <c r="H58" s="1807" t="s">
        <v>18</v>
      </c>
      <c r="I58" s="1807" t="s">
        <v>595</v>
      </c>
    </row>
    <row r="59" spans="1:9" ht="11.25" customHeight="1">
      <c r="A59" s="1807" t="s">
        <v>2147</v>
      </c>
      <c r="B59" s="1807" t="s">
        <v>14</v>
      </c>
      <c r="C59" s="1807" t="s">
        <v>2352</v>
      </c>
      <c r="D59" s="1807" t="s">
        <v>2353</v>
      </c>
      <c r="E59" s="1807" t="s">
        <v>2354</v>
      </c>
      <c r="F59" s="1807" t="s">
        <v>2183</v>
      </c>
      <c r="G59" s="1807" t="s">
        <v>18</v>
      </c>
      <c r="H59" s="1807" t="s">
        <v>18</v>
      </c>
      <c r="I59" s="1807" t="s">
        <v>595</v>
      </c>
    </row>
    <row r="60" spans="1:9" ht="11.25" customHeight="1">
      <c r="A60" s="1807" t="s">
        <v>2147</v>
      </c>
      <c r="B60" s="1807" t="s">
        <v>14</v>
      </c>
      <c r="C60" s="1807" t="s">
        <v>2355</v>
      </c>
      <c r="D60" s="1807" t="s">
        <v>2356</v>
      </c>
      <c r="E60" s="1807" t="s">
        <v>2357</v>
      </c>
      <c r="F60" s="1807" t="s">
        <v>2183</v>
      </c>
      <c r="G60" s="1807" t="s">
        <v>18</v>
      </c>
      <c r="H60" s="1807" t="s">
        <v>18</v>
      </c>
      <c r="I60" s="1807" t="s">
        <v>595</v>
      </c>
    </row>
    <row r="61" spans="1:9" ht="11.25" customHeight="1">
      <c r="A61" s="1807" t="s">
        <v>2147</v>
      </c>
      <c r="B61" s="1807" t="s">
        <v>14</v>
      </c>
      <c r="C61" s="1807" t="s">
        <v>2358</v>
      </c>
      <c r="D61" s="1807" t="s">
        <v>2359</v>
      </c>
      <c r="E61" s="1807" t="s">
        <v>2360</v>
      </c>
      <c r="F61" s="1807" t="s">
        <v>2361</v>
      </c>
      <c r="G61" s="1807" t="s">
        <v>18</v>
      </c>
      <c r="H61" s="1807" t="s">
        <v>18</v>
      </c>
      <c r="I61" s="1807" t="s">
        <v>595</v>
      </c>
    </row>
    <row r="62" spans="1:9" ht="11.25" customHeight="1">
      <c r="A62" s="1807" t="s">
        <v>2147</v>
      </c>
      <c r="B62" s="1807" t="s">
        <v>14</v>
      </c>
      <c r="C62" s="1807" t="s">
        <v>2362</v>
      </c>
      <c r="D62" s="1807" t="s">
        <v>2363</v>
      </c>
      <c r="E62" s="1807" t="s">
        <v>2364</v>
      </c>
      <c r="F62" s="1807" t="s">
        <v>2183</v>
      </c>
      <c r="G62" s="1807" t="s">
        <v>18</v>
      </c>
      <c r="H62" s="1807" t="s">
        <v>18</v>
      </c>
      <c r="I62" s="1807" t="s">
        <v>595</v>
      </c>
    </row>
    <row r="63" spans="1:9" ht="11.25" customHeight="1">
      <c r="A63" s="1807" t="s">
        <v>2147</v>
      </c>
      <c r="B63" s="1807" t="s">
        <v>14</v>
      </c>
      <c r="C63" s="1807" t="s">
        <v>2365</v>
      </c>
      <c r="D63" s="1807" t="s">
        <v>2366</v>
      </c>
      <c r="E63" s="1807" t="s">
        <v>2367</v>
      </c>
      <c r="F63" s="1807" t="s">
        <v>2361</v>
      </c>
      <c r="G63" s="1807" t="s">
        <v>18</v>
      </c>
      <c r="H63" s="1807" t="s">
        <v>18</v>
      </c>
      <c r="I63" s="1807" t="s">
        <v>595</v>
      </c>
    </row>
    <row r="64" spans="1:9" ht="11.25" customHeight="1">
      <c r="A64" s="1807" t="s">
        <v>2147</v>
      </c>
      <c r="B64" s="1807" t="s">
        <v>14</v>
      </c>
      <c r="C64" s="1807" t="s">
        <v>2368</v>
      </c>
      <c r="D64" s="1807" t="s">
        <v>2369</v>
      </c>
      <c r="E64" s="1807" t="s">
        <v>2370</v>
      </c>
      <c r="F64" s="1807" t="s">
        <v>2183</v>
      </c>
      <c r="G64" s="1807" t="s">
        <v>18</v>
      </c>
      <c r="H64" s="1807" t="s">
        <v>18</v>
      </c>
      <c r="I64" s="1807" t="s">
        <v>595</v>
      </c>
    </row>
    <row r="65" spans="1:9" ht="11.25" customHeight="1">
      <c r="A65" s="1807" t="s">
        <v>2147</v>
      </c>
      <c r="B65" s="1807" t="s">
        <v>14</v>
      </c>
      <c r="C65" s="1807" t="s">
        <v>2371</v>
      </c>
      <c r="D65" s="1807" t="s">
        <v>2372</v>
      </c>
      <c r="E65" s="1807" t="s">
        <v>2373</v>
      </c>
      <c r="F65" s="1807" t="s">
        <v>2183</v>
      </c>
      <c r="G65" s="1807" t="s">
        <v>18</v>
      </c>
      <c r="H65" s="1807" t="s">
        <v>18</v>
      </c>
      <c r="I65" s="1807" t="s">
        <v>595</v>
      </c>
    </row>
    <row r="66" spans="1:9" ht="11.25" customHeight="1">
      <c r="A66" s="1807" t="s">
        <v>2147</v>
      </c>
      <c r="B66" s="1807" t="s">
        <v>14</v>
      </c>
      <c r="C66" s="1807" t="s">
        <v>2374</v>
      </c>
      <c r="D66" s="1807" t="s">
        <v>2375</v>
      </c>
      <c r="E66" s="1807" t="s">
        <v>2178</v>
      </c>
      <c r="F66" s="1807" t="s">
        <v>2376</v>
      </c>
      <c r="G66" s="1807" t="s">
        <v>2377</v>
      </c>
      <c r="H66" s="1807" t="s">
        <v>18</v>
      </c>
      <c r="I66" s="1807" t="s">
        <v>595</v>
      </c>
    </row>
    <row r="67" spans="1:9" ht="11.25" customHeight="1">
      <c r="A67" s="1807" t="s">
        <v>2147</v>
      </c>
      <c r="B67" s="1807" t="s">
        <v>14</v>
      </c>
      <c r="C67" s="1807" t="s">
        <v>2378</v>
      </c>
      <c r="D67" s="1807" t="s">
        <v>2379</v>
      </c>
      <c r="E67" s="1807" t="s">
        <v>2380</v>
      </c>
      <c r="F67" s="1807" t="s">
        <v>2183</v>
      </c>
      <c r="G67" s="1807" t="s">
        <v>18</v>
      </c>
      <c r="H67" s="1807" t="s">
        <v>18</v>
      </c>
      <c r="I67" s="1807" t="s">
        <v>595</v>
      </c>
    </row>
    <row r="68" spans="1:9" ht="11.25" customHeight="1">
      <c r="A68" s="1807" t="s">
        <v>2147</v>
      </c>
      <c r="B68" s="1807" t="s">
        <v>14</v>
      </c>
      <c r="C68" s="1807" t="s">
        <v>2381</v>
      </c>
      <c r="D68" s="1807" t="s">
        <v>2382</v>
      </c>
      <c r="E68" s="1807" t="s">
        <v>2383</v>
      </c>
      <c r="F68" s="1807" t="s">
        <v>2183</v>
      </c>
      <c r="G68" s="1807" t="s">
        <v>18</v>
      </c>
      <c r="H68" s="1807" t="s">
        <v>18</v>
      </c>
      <c r="I68" s="1807" t="s">
        <v>595</v>
      </c>
    </row>
    <row r="69" spans="1:9" ht="11.25" customHeight="1">
      <c r="A69" s="1807" t="s">
        <v>2147</v>
      </c>
      <c r="B69" s="1807" t="s">
        <v>14</v>
      </c>
      <c r="C69" s="1807" t="s">
        <v>2384</v>
      </c>
      <c r="D69" s="1807" t="s">
        <v>2385</v>
      </c>
      <c r="E69" s="1807" t="s">
        <v>2386</v>
      </c>
      <c r="F69" s="1807" t="s">
        <v>2387</v>
      </c>
      <c r="G69" s="1807" t="s">
        <v>18</v>
      </c>
      <c r="H69" s="1807" t="s">
        <v>18</v>
      </c>
      <c r="I69" s="1807" t="s">
        <v>595</v>
      </c>
    </row>
    <row r="70" spans="1:9" ht="11.25" customHeight="1">
      <c r="A70" s="1807" t="s">
        <v>2147</v>
      </c>
      <c r="B70" s="1807" t="s">
        <v>14</v>
      </c>
      <c r="C70" s="1807" t="s">
        <v>2388</v>
      </c>
      <c r="D70" s="1807" t="s">
        <v>2389</v>
      </c>
      <c r="E70" s="1807" t="s">
        <v>2221</v>
      </c>
      <c r="F70" s="1807" t="s">
        <v>2390</v>
      </c>
      <c r="G70" s="1807" t="s">
        <v>18</v>
      </c>
      <c r="H70" s="1807" t="s">
        <v>18</v>
      </c>
      <c r="I70" s="1807" t="s">
        <v>595</v>
      </c>
    </row>
    <row r="71" spans="1:9" ht="11.25" customHeight="1">
      <c r="A71" s="1807" t="s">
        <v>2147</v>
      </c>
      <c r="B71" s="1807" t="s">
        <v>14</v>
      </c>
      <c r="C71" s="1807" t="s">
        <v>2391</v>
      </c>
      <c r="D71" s="1807" t="s">
        <v>2392</v>
      </c>
      <c r="E71" s="1807" t="s">
        <v>2393</v>
      </c>
      <c r="F71" s="1807" t="s">
        <v>2394</v>
      </c>
      <c r="G71" s="1807" t="s">
        <v>18</v>
      </c>
      <c r="H71" s="1807" t="s">
        <v>18</v>
      </c>
      <c r="I71" s="1807" t="s">
        <v>595</v>
      </c>
    </row>
    <row r="72" spans="1:9" ht="11.25" customHeight="1">
      <c r="A72" s="1807" t="s">
        <v>2147</v>
      </c>
      <c r="B72" s="1807" t="s">
        <v>14</v>
      </c>
      <c r="C72" s="1807" t="s">
        <v>2148</v>
      </c>
      <c r="D72" s="1807" t="s">
        <v>2149</v>
      </c>
      <c r="E72" s="1807" t="s">
        <v>2150</v>
      </c>
      <c r="F72" s="1807" t="s">
        <v>2151</v>
      </c>
      <c r="G72" s="1807" t="s">
        <v>2152</v>
      </c>
      <c r="H72" s="1807" t="s">
        <v>18</v>
      </c>
      <c r="I72" s="1807" t="s">
        <v>1007</v>
      </c>
    </row>
    <row r="73" spans="1:9" ht="11.25" customHeight="1">
      <c r="A73" s="1807" t="s">
        <v>2147</v>
      </c>
      <c r="B73" s="1807" t="s">
        <v>14</v>
      </c>
      <c r="C73" s="1807" t="s">
        <v>2153</v>
      </c>
      <c r="D73" s="1807" t="s">
        <v>2154</v>
      </c>
      <c r="E73" s="1807" t="s">
        <v>2155</v>
      </c>
      <c r="F73" s="1807" t="s">
        <v>2156</v>
      </c>
      <c r="G73" s="1807" t="s">
        <v>18</v>
      </c>
      <c r="H73" s="1807" t="s">
        <v>18</v>
      </c>
      <c r="I73" s="1807" t="s">
        <v>1007</v>
      </c>
    </row>
    <row r="74" spans="1:9" ht="11.25" customHeight="1">
      <c r="A74" s="1807" t="s">
        <v>2147</v>
      </c>
      <c r="B74" s="1807" t="s">
        <v>14</v>
      </c>
      <c r="C74" s="1807" t="s">
        <v>2157</v>
      </c>
      <c r="D74" s="1807" t="s">
        <v>2158</v>
      </c>
      <c r="E74" s="1807" t="s">
        <v>2159</v>
      </c>
      <c r="F74" s="1807" t="s">
        <v>2156</v>
      </c>
      <c r="G74" s="1807" t="s">
        <v>18</v>
      </c>
      <c r="H74" s="1807" t="s">
        <v>18</v>
      </c>
      <c r="I74" s="1807" t="s">
        <v>1007</v>
      </c>
    </row>
    <row r="75" spans="1:9" ht="11.25" customHeight="1">
      <c r="A75" s="1807" t="s">
        <v>2147</v>
      </c>
      <c r="B75" s="1807" t="s">
        <v>14</v>
      </c>
      <c r="C75" s="1807" t="s">
        <v>2163</v>
      </c>
      <c r="D75" s="1807" t="s">
        <v>2164</v>
      </c>
      <c r="E75" s="1807" t="s">
        <v>2165</v>
      </c>
      <c r="F75" s="1807" t="s">
        <v>2166</v>
      </c>
      <c r="G75" s="1807" t="s">
        <v>2167</v>
      </c>
      <c r="H75" s="1807" t="s">
        <v>18</v>
      </c>
      <c r="I75" s="1807" t="s">
        <v>1007</v>
      </c>
    </row>
    <row r="76" spans="1:9" ht="11.25" customHeight="1">
      <c r="A76" s="1807" t="s">
        <v>2147</v>
      </c>
      <c r="B76" s="1807" t="s">
        <v>14</v>
      </c>
      <c r="C76" s="1807" t="s">
        <v>2168</v>
      </c>
      <c r="D76" s="1807" t="s">
        <v>2169</v>
      </c>
      <c r="E76" s="1807" t="s">
        <v>2170</v>
      </c>
      <c r="F76" s="1807" t="s">
        <v>2171</v>
      </c>
      <c r="G76" s="1807" t="s">
        <v>18</v>
      </c>
      <c r="H76" s="1807" t="s">
        <v>18</v>
      </c>
      <c r="I76" s="1807" t="s">
        <v>1007</v>
      </c>
    </row>
    <row r="77" spans="1:9" ht="11.25" customHeight="1">
      <c r="A77" s="1807" t="s">
        <v>2147</v>
      </c>
      <c r="B77" s="1807" t="s">
        <v>14</v>
      </c>
      <c r="C77" s="1807" t="s">
        <v>2176</v>
      </c>
      <c r="D77" s="1807" t="s">
        <v>2177</v>
      </c>
      <c r="E77" s="1807" t="s">
        <v>2178</v>
      </c>
      <c r="F77" s="1807" t="s">
        <v>2179</v>
      </c>
      <c r="G77" s="1807" t="s">
        <v>18</v>
      </c>
      <c r="H77" s="1807" t="s">
        <v>18</v>
      </c>
      <c r="I77" s="1807" t="s">
        <v>1007</v>
      </c>
    </row>
    <row r="78" spans="1:9" ht="11.25" customHeight="1">
      <c r="A78" s="1807" t="s">
        <v>2147</v>
      </c>
      <c r="B78" s="1807" t="s">
        <v>14</v>
      </c>
      <c r="C78" s="1807" t="s">
        <v>2184</v>
      </c>
      <c r="D78" s="1807" t="s">
        <v>2185</v>
      </c>
      <c r="E78" s="1807" t="s">
        <v>2186</v>
      </c>
      <c r="F78" s="1807" t="s">
        <v>2187</v>
      </c>
      <c r="G78" s="1807" t="s">
        <v>2188</v>
      </c>
      <c r="H78" s="1807" t="s">
        <v>18</v>
      </c>
      <c r="I78" s="1807" t="s">
        <v>1007</v>
      </c>
    </row>
    <row r="79" spans="1:9" ht="11.25" customHeight="1">
      <c r="A79" s="1807" t="s">
        <v>2147</v>
      </c>
      <c r="B79" s="1807" t="s">
        <v>14</v>
      </c>
      <c r="C79" s="1807" t="s">
        <v>2200</v>
      </c>
      <c r="D79" s="1807" t="s">
        <v>2201</v>
      </c>
      <c r="E79" s="1807" t="s">
        <v>2202</v>
      </c>
      <c r="F79" s="1807" t="s">
        <v>2203</v>
      </c>
      <c r="G79" s="1807" t="s">
        <v>18</v>
      </c>
      <c r="H79" s="1807" t="s">
        <v>18</v>
      </c>
      <c r="I79" s="1807" t="s">
        <v>1007</v>
      </c>
    </row>
    <row r="80" spans="1:9" ht="11.25" customHeight="1">
      <c r="A80" s="1807" t="s">
        <v>2147</v>
      </c>
      <c r="B80" s="1807" t="s">
        <v>14</v>
      </c>
      <c r="C80" s="1807" t="s">
        <v>2204</v>
      </c>
      <c r="D80" s="1807" t="s">
        <v>2205</v>
      </c>
      <c r="E80" s="1807" t="s">
        <v>2206</v>
      </c>
      <c r="F80" s="1807" t="s">
        <v>2207</v>
      </c>
      <c r="G80" s="1807" t="s">
        <v>2208</v>
      </c>
      <c r="H80" s="1807" t="s">
        <v>18</v>
      </c>
      <c r="I80" s="1807" t="s">
        <v>1007</v>
      </c>
    </row>
    <row r="81" spans="1:9" ht="11.25" customHeight="1">
      <c r="A81" s="1807" t="s">
        <v>2147</v>
      </c>
      <c r="B81" s="1807" t="s">
        <v>14</v>
      </c>
      <c r="C81" s="1807" t="s">
        <v>2219</v>
      </c>
      <c r="D81" s="1807" t="s">
        <v>2220</v>
      </c>
      <c r="E81" s="1807" t="s">
        <v>2221</v>
      </c>
      <c r="F81" s="1807" t="s">
        <v>2179</v>
      </c>
      <c r="G81" s="1807" t="s">
        <v>18</v>
      </c>
      <c r="H81" s="1807" t="s">
        <v>18</v>
      </c>
      <c r="I81" s="1807" t="s">
        <v>1007</v>
      </c>
    </row>
    <row r="82" spans="1:9" ht="11.25" customHeight="1">
      <c r="A82" s="1807" t="s">
        <v>2147</v>
      </c>
      <c r="B82" s="1807" t="s">
        <v>14</v>
      </c>
      <c r="C82" s="1807" t="s">
        <v>2222</v>
      </c>
      <c r="D82" s="1807" t="s">
        <v>2223</v>
      </c>
      <c r="E82" s="1807" t="s">
        <v>2224</v>
      </c>
      <c r="F82" s="1807" t="s">
        <v>2156</v>
      </c>
      <c r="G82" s="1807" t="s">
        <v>18</v>
      </c>
      <c r="H82" s="1807" t="s">
        <v>18</v>
      </c>
      <c r="I82" s="1807" t="s">
        <v>1007</v>
      </c>
    </row>
    <row r="83" spans="1:9" ht="11.25" customHeight="1">
      <c r="A83" s="1807" t="s">
        <v>2147</v>
      </c>
      <c r="B83" s="1807" t="s">
        <v>14</v>
      </c>
      <c r="C83" s="1807" t="s">
        <v>2225</v>
      </c>
      <c r="D83" s="1807" t="s">
        <v>2226</v>
      </c>
      <c r="E83" s="1807" t="s">
        <v>2227</v>
      </c>
      <c r="F83" s="1807" t="s">
        <v>2228</v>
      </c>
      <c r="G83" s="1807" t="s">
        <v>18</v>
      </c>
      <c r="H83" s="1807" t="s">
        <v>18</v>
      </c>
      <c r="I83" s="1807" t="s">
        <v>1007</v>
      </c>
    </row>
    <row r="84" spans="1:9" ht="11.25" customHeight="1">
      <c r="A84" s="1807" t="s">
        <v>2147</v>
      </c>
      <c r="B84" s="1807" t="s">
        <v>14</v>
      </c>
      <c r="C84" s="1807" t="s">
        <v>2240</v>
      </c>
      <c r="D84" s="1807" t="s">
        <v>2241</v>
      </c>
      <c r="E84" s="1807" t="s">
        <v>2242</v>
      </c>
      <c r="F84" s="1807" t="s">
        <v>2243</v>
      </c>
      <c r="G84" s="1807" t="s">
        <v>18</v>
      </c>
      <c r="H84" s="1807" t="s">
        <v>18</v>
      </c>
      <c r="I84" s="1807" t="s">
        <v>1007</v>
      </c>
    </row>
    <row r="85" spans="1:9" ht="11.25" customHeight="1">
      <c r="A85" s="1807" t="s">
        <v>2147</v>
      </c>
      <c r="B85" s="1807" t="s">
        <v>14</v>
      </c>
      <c r="C85" s="1807" t="s">
        <v>2244</v>
      </c>
      <c r="D85" s="1807" t="s">
        <v>2245</v>
      </c>
      <c r="E85" s="1807" t="s">
        <v>2246</v>
      </c>
      <c r="F85" s="1807" t="s">
        <v>2247</v>
      </c>
      <c r="G85" s="1807" t="s">
        <v>18</v>
      </c>
      <c r="H85" s="1807" t="s">
        <v>18</v>
      </c>
      <c r="I85" s="1807" t="s">
        <v>1007</v>
      </c>
    </row>
    <row r="86" spans="1:9" ht="11.25" customHeight="1">
      <c r="A86" s="1807" t="s">
        <v>2147</v>
      </c>
      <c r="B86" s="1807" t="s">
        <v>14</v>
      </c>
      <c r="C86" s="1807" t="s">
        <v>2248</v>
      </c>
      <c r="D86" s="1807" t="s">
        <v>2249</v>
      </c>
      <c r="E86" s="1807" t="s">
        <v>2250</v>
      </c>
      <c r="F86" s="1807" t="s">
        <v>2156</v>
      </c>
      <c r="G86" s="1807" t="s">
        <v>2251</v>
      </c>
      <c r="H86" s="1807" t="s">
        <v>18</v>
      </c>
      <c r="I86" s="1807" t="s">
        <v>1007</v>
      </c>
    </row>
    <row r="87" spans="1:9" ht="11.25" customHeight="1">
      <c r="A87" s="1807" t="s">
        <v>2147</v>
      </c>
      <c r="B87" s="1807" t="s">
        <v>14</v>
      </c>
      <c r="C87" s="1807" t="s">
        <v>2260</v>
      </c>
      <c r="D87" s="1807" t="s">
        <v>2261</v>
      </c>
      <c r="E87" s="1807" t="s">
        <v>2258</v>
      </c>
      <c r="F87" s="1807" t="s">
        <v>2262</v>
      </c>
      <c r="G87" s="1807" t="s">
        <v>2263</v>
      </c>
      <c r="H87" s="1807" t="s">
        <v>18</v>
      </c>
      <c r="I87" s="1807" t="s">
        <v>1007</v>
      </c>
    </row>
    <row r="88" spans="1:9" ht="11.25" customHeight="1">
      <c r="A88" s="1807" t="s">
        <v>2147</v>
      </c>
      <c r="B88" s="1807" t="s">
        <v>14</v>
      </c>
      <c r="C88" s="1807" t="s">
        <v>2270</v>
      </c>
      <c r="D88" s="1807" t="s">
        <v>2271</v>
      </c>
      <c r="E88" s="1807" t="s">
        <v>2272</v>
      </c>
      <c r="F88" s="1807" t="s">
        <v>52</v>
      </c>
      <c r="G88" s="1807" t="s">
        <v>18</v>
      </c>
      <c r="H88" s="1807" t="s">
        <v>18</v>
      </c>
      <c r="I88" s="1807" t="s">
        <v>1007</v>
      </c>
    </row>
    <row r="89" spans="1:9" ht="11.25" customHeight="1">
      <c r="A89" s="1807" t="s">
        <v>2147</v>
      </c>
      <c r="B89" s="1807" t="s">
        <v>14</v>
      </c>
      <c r="C89" s="1807" t="s">
        <v>2277</v>
      </c>
      <c r="D89" s="1807" t="s">
        <v>2278</v>
      </c>
      <c r="E89" s="1807" t="s">
        <v>2279</v>
      </c>
      <c r="F89" s="1807" t="s">
        <v>2280</v>
      </c>
      <c r="G89" s="1807" t="s">
        <v>18</v>
      </c>
      <c r="H89" s="1807" t="s">
        <v>18</v>
      </c>
      <c r="I89" s="1807" t="s">
        <v>1007</v>
      </c>
    </row>
    <row r="90" spans="1:9" ht="11.25" customHeight="1">
      <c r="A90" s="1807" t="s">
        <v>2147</v>
      </c>
      <c r="B90" s="1807" t="s">
        <v>14</v>
      </c>
      <c r="C90" s="1807" t="s">
        <v>2287</v>
      </c>
      <c r="D90" s="1807" t="s">
        <v>2288</v>
      </c>
      <c r="E90" s="1807" t="s">
        <v>2289</v>
      </c>
      <c r="F90" s="1807" t="s">
        <v>52</v>
      </c>
      <c r="G90" s="1807" t="s">
        <v>18</v>
      </c>
      <c r="H90" s="1807" t="s">
        <v>18</v>
      </c>
      <c r="I90" s="1807" t="s">
        <v>1007</v>
      </c>
    </row>
    <row r="91" spans="1:9" ht="11.25" customHeight="1">
      <c r="A91" s="1807" t="s">
        <v>2147</v>
      </c>
      <c r="B91" s="1807" t="s">
        <v>14</v>
      </c>
      <c r="C91" s="1807" t="s">
        <v>2294</v>
      </c>
      <c r="D91" s="1807" t="s">
        <v>2295</v>
      </c>
      <c r="E91" s="1807" t="s">
        <v>2296</v>
      </c>
      <c r="F91" s="1807" t="s">
        <v>2183</v>
      </c>
      <c r="G91" s="1807" t="s">
        <v>18</v>
      </c>
      <c r="H91" s="1807" t="s">
        <v>18</v>
      </c>
      <c r="I91" s="1807" t="s">
        <v>1007</v>
      </c>
    </row>
    <row r="92" spans="1:9" ht="11.25" customHeight="1">
      <c r="A92" s="1807" t="s">
        <v>2147</v>
      </c>
      <c r="B92" s="1807" t="s">
        <v>14</v>
      </c>
      <c r="C92" s="1807" t="s">
        <v>2300</v>
      </c>
      <c r="D92" s="1807" t="s">
        <v>2301</v>
      </c>
      <c r="E92" s="1807" t="s">
        <v>2302</v>
      </c>
      <c r="F92" s="1807" t="s">
        <v>2183</v>
      </c>
      <c r="G92" s="1807" t="s">
        <v>18</v>
      </c>
      <c r="H92" s="1807" t="s">
        <v>18</v>
      </c>
      <c r="I92" s="1807" t="s">
        <v>1007</v>
      </c>
    </row>
    <row r="93" spans="1:9" ht="11.25" customHeight="1">
      <c r="A93" s="1807" t="s">
        <v>2147</v>
      </c>
      <c r="B93" s="1807" t="s">
        <v>14</v>
      </c>
      <c r="C93" s="1807" t="s">
        <v>2303</v>
      </c>
      <c r="D93" s="1807" t="s">
        <v>2304</v>
      </c>
      <c r="E93" s="1807" t="s">
        <v>2305</v>
      </c>
      <c r="F93" s="1807" t="s">
        <v>2306</v>
      </c>
      <c r="G93" s="1807" t="s">
        <v>18</v>
      </c>
      <c r="H93" s="1807" t="s">
        <v>18</v>
      </c>
      <c r="I93" s="1807" t="s">
        <v>1007</v>
      </c>
    </row>
    <row r="94" spans="1:9" ht="11.25" customHeight="1">
      <c r="A94" s="1807" t="s">
        <v>2147</v>
      </c>
      <c r="B94" s="1807" t="s">
        <v>14</v>
      </c>
      <c r="C94" s="1807" t="s">
        <v>2316</v>
      </c>
      <c r="D94" s="1807" t="s">
        <v>2317</v>
      </c>
      <c r="E94" s="1807" t="s">
        <v>2318</v>
      </c>
      <c r="F94" s="1807" t="s">
        <v>2319</v>
      </c>
      <c r="G94" s="1807" t="s">
        <v>18</v>
      </c>
      <c r="H94" s="1807" t="s">
        <v>18</v>
      </c>
      <c r="I94" s="1807" t="s">
        <v>1007</v>
      </c>
    </row>
    <row r="95" spans="1:9" ht="11.25" customHeight="1">
      <c r="A95" s="1807" t="s">
        <v>2147</v>
      </c>
      <c r="B95" s="1807" t="s">
        <v>14</v>
      </c>
      <c r="C95" s="1807" t="s">
        <v>2323</v>
      </c>
      <c r="D95" s="1807" t="s">
        <v>2324</v>
      </c>
      <c r="E95" s="1807" t="s">
        <v>2325</v>
      </c>
      <c r="F95" s="1807" t="s">
        <v>2166</v>
      </c>
      <c r="G95" s="1807" t="s">
        <v>18</v>
      </c>
      <c r="H95" s="1807" t="s">
        <v>18</v>
      </c>
      <c r="I95" s="1807" t="s">
        <v>1007</v>
      </c>
    </row>
    <row r="96" spans="1:9" ht="11.25" customHeight="1">
      <c r="A96" s="1807" t="s">
        <v>2147</v>
      </c>
      <c r="B96" s="1807" t="s">
        <v>14</v>
      </c>
      <c r="C96" s="1807" t="s">
        <v>2346</v>
      </c>
      <c r="D96" s="1807" t="s">
        <v>2347</v>
      </c>
      <c r="E96" s="1807" t="s">
        <v>2348</v>
      </c>
      <c r="F96" s="1807" t="s">
        <v>2183</v>
      </c>
      <c r="G96" s="1807" t="s">
        <v>18</v>
      </c>
      <c r="H96" s="1807" t="s">
        <v>18</v>
      </c>
      <c r="I96" s="1807" t="s">
        <v>1007</v>
      </c>
    </row>
    <row r="97" spans="1:9" ht="11.25" customHeight="1">
      <c r="A97" s="1807" t="s">
        <v>2147</v>
      </c>
      <c r="B97" s="1807" t="s">
        <v>14</v>
      </c>
      <c r="C97" s="1807" t="s">
        <v>2352</v>
      </c>
      <c r="D97" s="1807" t="s">
        <v>2353</v>
      </c>
      <c r="E97" s="1807" t="s">
        <v>2354</v>
      </c>
      <c r="F97" s="1807" t="s">
        <v>2183</v>
      </c>
      <c r="G97" s="1807" t="s">
        <v>18</v>
      </c>
      <c r="H97" s="1807" t="s">
        <v>18</v>
      </c>
      <c r="I97" s="1807" t="s">
        <v>1007</v>
      </c>
    </row>
    <row r="98" spans="1:9" ht="11.25" customHeight="1">
      <c r="A98" s="1807" t="s">
        <v>2147</v>
      </c>
      <c r="B98" s="1807" t="s">
        <v>14</v>
      </c>
      <c r="C98" s="1807" t="s">
        <v>2355</v>
      </c>
      <c r="D98" s="1807" t="s">
        <v>2356</v>
      </c>
      <c r="E98" s="1807" t="s">
        <v>2357</v>
      </c>
      <c r="F98" s="1807" t="s">
        <v>2183</v>
      </c>
      <c r="G98" s="1807" t="s">
        <v>18</v>
      </c>
      <c r="H98" s="1807" t="s">
        <v>18</v>
      </c>
      <c r="I98" s="1807" t="s">
        <v>1007</v>
      </c>
    </row>
    <row r="99" spans="1:9" ht="11.25" customHeight="1">
      <c r="A99" s="1807" t="s">
        <v>2147</v>
      </c>
      <c r="B99" s="1807" t="s">
        <v>14</v>
      </c>
      <c r="C99" s="1807" t="s">
        <v>2358</v>
      </c>
      <c r="D99" s="1807" t="s">
        <v>2359</v>
      </c>
      <c r="E99" s="1807" t="s">
        <v>2360</v>
      </c>
      <c r="F99" s="1807" t="s">
        <v>2361</v>
      </c>
      <c r="G99" s="1807" t="s">
        <v>18</v>
      </c>
      <c r="H99" s="1807" t="s">
        <v>18</v>
      </c>
      <c r="I99" s="1807" t="s">
        <v>1007</v>
      </c>
    </row>
    <row r="100" spans="1:9" ht="11.25" customHeight="1">
      <c r="A100" s="1807" t="s">
        <v>2147</v>
      </c>
      <c r="B100" s="1807" t="s">
        <v>14</v>
      </c>
      <c r="C100" s="1807" t="s">
        <v>2365</v>
      </c>
      <c r="D100" s="1807" t="s">
        <v>2366</v>
      </c>
      <c r="E100" s="1807" t="s">
        <v>2367</v>
      </c>
      <c r="F100" s="1807" t="s">
        <v>2361</v>
      </c>
      <c r="G100" s="1807" t="s">
        <v>18</v>
      </c>
      <c r="H100" s="1807" t="s">
        <v>18</v>
      </c>
      <c r="I100" s="1807" t="s">
        <v>1007</v>
      </c>
    </row>
    <row r="101" spans="1:9" ht="11.25" customHeight="1">
      <c r="A101" s="1807" t="s">
        <v>2147</v>
      </c>
      <c r="B101" s="1807" t="s">
        <v>14</v>
      </c>
      <c r="C101" s="1807" t="s">
        <v>2368</v>
      </c>
      <c r="D101" s="1807" t="s">
        <v>2369</v>
      </c>
      <c r="E101" s="1807" t="s">
        <v>2370</v>
      </c>
      <c r="F101" s="1807" t="s">
        <v>2183</v>
      </c>
      <c r="G101" s="1807" t="s">
        <v>18</v>
      </c>
      <c r="H101" s="1807" t="s">
        <v>18</v>
      </c>
      <c r="I101" s="1807" t="s">
        <v>1007</v>
      </c>
    </row>
    <row r="102" spans="1:9" ht="11.25" customHeight="1">
      <c r="A102" s="1807" t="s">
        <v>2147</v>
      </c>
      <c r="B102" s="1807" t="s">
        <v>14</v>
      </c>
      <c r="C102" s="1807" t="s">
        <v>2371</v>
      </c>
      <c r="D102" s="1807" t="s">
        <v>2372</v>
      </c>
      <c r="E102" s="1807" t="s">
        <v>2373</v>
      </c>
      <c r="F102" s="1807" t="s">
        <v>2183</v>
      </c>
      <c r="G102" s="1807" t="s">
        <v>18</v>
      </c>
      <c r="H102" s="1807" t="s">
        <v>18</v>
      </c>
      <c r="I102" s="1807" t="s">
        <v>1007</v>
      </c>
    </row>
    <row r="103" spans="1:9" ht="11.25" customHeight="1">
      <c r="A103" s="1807" t="s">
        <v>2147</v>
      </c>
      <c r="B103" s="1807" t="s">
        <v>14</v>
      </c>
      <c r="C103" s="1807" t="s">
        <v>2374</v>
      </c>
      <c r="D103" s="1807" t="s">
        <v>2375</v>
      </c>
      <c r="E103" s="1807" t="s">
        <v>2178</v>
      </c>
      <c r="F103" s="1807" t="s">
        <v>2376</v>
      </c>
      <c r="G103" s="1807" t="s">
        <v>2377</v>
      </c>
      <c r="H103" s="1807" t="s">
        <v>18</v>
      </c>
      <c r="I103" s="1807" t="s">
        <v>1007</v>
      </c>
    </row>
    <row r="104" spans="1:9" ht="11.25" customHeight="1">
      <c r="A104" s="1807" t="s">
        <v>2147</v>
      </c>
      <c r="B104" s="1807" t="s">
        <v>14</v>
      </c>
      <c r="C104" s="1807" t="s">
        <v>2395</v>
      </c>
      <c r="D104" s="1807" t="s">
        <v>2396</v>
      </c>
      <c r="E104" s="1807" t="s">
        <v>2393</v>
      </c>
      <c r="F104" s="1807" t="s">
        <v>2397</v>
      </c>
      <c r="G104" s="1807" t="s">
        <v>18</v>
      </c>
      <c r="H104" s="1807" t="s">
        <v>18</v>
      </c>
      <c r="I104" s="1807" t="s">
        <v>1007</v>
      </c>
    </row>
    <row r="105" spans="1:9" ht="11.25" customHeight="1">
      <c r="A105" s="1807" t="s">
        <v>2147</v>
      </c>
      <c r="B105" s="1807" t="s">
        <v>14</v>
      </c>
      <c r="C105" s="1807" t="s">
        <v>2388</v>
      </c>
      <c r="D105" s="1807" t="s">
        <v>2389</v>
      </c>
      <c r="E105" s="1807" t="s">
        <v>2221</v>
      </c>
      <c r="F105" s="1807" t="s">
        <v>2390</v>
      </c>
      <c r="G105" s="1807" t="s">
        <v>18</v>
      </c>
      <c r="H105" s="1807" t="s">
        <v>18</v>
      </c>
      <c r="I105" s="1807" t="s">
        <v>1007</v>
      </c>
    </row>
    <row r="106" spans="1:9" ht="11.25" customHeight="1">
      <c r="A106" s="1807" t="s">
        <v>2147</v>
      </c>
      <c r="B106" s="1807" t="s">
        <v>14</v>
      </c>
      <c r="C106" s="1807" t="s">
        <v>2391</v>
      </c>
      <c r="D106" s="1807" t="s">
        <v>2392</v>
      </c>
      <c r="E106" s="1807" t="s">
        <v>2393</v>
      </c>
      <c r="F106" s="1807" t="s">
        <v>2394</v>
      </c>
      <c r="G106" s="1807" t="s">
        <v>18</v>
      </c>
      <c r="H106" s="1807" t="s">
        <v>18</v>
      </c>
      <c r="I106" s="1807" t="s">
        <v>1007</v>
      </c>
    </row>
    <row r="107" spans="1:9" ht="11.25" customHeight="1">
      <c r="A107" s="1807" t="s">
        <v>2147</v>
      </c>
      <c r="B107" s="1807" t="s">
        <v>14</v>
      </c>
      <c r="C107" s="1807" t="s">
        <v>2398</v>
      </c>
      <c r="D107" s="1807" t="s">
        <v>2177</v>
      </c>
      <c r="E107" s="1807" t="s">
        <v>2178</v>
      </c>
      <c r="F107" s="1807" t="s">
        <v>2399</v>
      </c>
      <c r="G107" s="1807" t="s">
        <v>2400</v>
      </c>
      <c r="H107" s="1807" t="s">
        <v>18</v>
      </c>
      <c r="I107" s="1807" t="s">
        <v>984</v>
      </c>
    </row>
    <row r="108" spans="1:9" ht="11.25" customHeight="1">
      <c r="A108" s="1807" t="s">
        <v>2147</v>
      </c>
      <c r="B108" s="1807" t="s">
        <v>14</v>
      </c>
      <c r="C108" s="1807" t="s">
        <v>2176</v>
      </c>
      <c r="D108" s="1807" t="s">
        <v>2177</v>
      </c>
      <c r="E108" s="1807" t="s">
        <v>2178</v>
      </c>
      <c r="F108" s="1807" t="s">
        <v>2179</v>
      </c>
      <c r="G108" s="1807" t="s">
        <v>18</v>
      </c>
      <c r="H108" s="1807" t="s">
        <v>18</v>
      </c>
      <c r="I108" s="1807" t="s">
        <v>984</v>
      </c>
    </row>
    <row r="109" spans="1:9" ht="11.25" customHeight="1">
      <c r="A109" s="1807" t="s">
        <v>2147</v>
      </c>
      <c r="B109" s="1807" t="s">
        <v>14</v>
      </c>
      <c r="C109" s="1807" t="s">
        <v>2180</v>
      </c>
      <c r="D109" s="1807" t="s">
        <v>2181</v>
      </c>
      <c r="E109" s="1807" t="s">
        <v>2182</v>
      </c>
      <c r="F109" s="1807" t="s">
        <v>2183</v>
      </c>
      <c r="G109" s="1807" t="s">
        <v>18</v>
      </c>
      <c r="H109" s="1807" t="s">
        <v>18</v>
      </c>
      <c r="I109" s="1807" t="s">
        <v>984</v>
      </c>
    </row>
    <row r="110" spans="1:9" ht="11.25" customHeight="1">
      <c r="A110" s="1807" t="s">
        <v>2147</v>
      </c>
      <c r="B110" s="1807" t="s">
        <v>14</v>
      </c>
      <c r="C110" s="1807" t="s">
        <v>2189</v>
      </c>
      <c r="D110" s="1807" t="s">
        <v>2190</v>
      </c>
      <c r="E110" s="1807" t="s">
        <v>2191</v>
      </c>
      <c r="F110" s="1807" t="s">
        <v>2183</v>
      </c>
      <c r="G110" s="1807" t="s">
        <v>18</v>
      </c>
      <c r="H110" s="1807" t="s">
        <v>18</v>
      </c>
      <c r="I110" s="1807" t="s">
        <v>984</v>
      </c>
    </row>
    <row r="111" spans="1:9" ht="11.25" customHeight="1">
      <c r="A111" s="1807" t="s">
        <v>2147</v>
      </c>
      <c r="B111" s="1807" t="s">
        <v>14</v>
      </c>
      <c r="C111" s="1807" t="s">
        <v>2401</v>
      </c>
      <c r="D111" s="1807" t="s">
        <v>2402</v>
      </c>
      <c r="E111" s="1807" t="s">
        <v>2403</v>
      </c>
      <c r="F111" s="1807" t="s">
        <v>2404</v>
      </c>
      <c r="G111" s="1807" t="s">
        <v>18</v>
      </c>
      <c r="H111" s="1807" t="s">
        <v>18</v>
      </c>
      <c r="I111" s="1807" t="s">
        <v>984</v>
      </c>
    </row>
    <row r="112" spans="1:9" ht="11.25" customHeight="1">
      <c r="A112" s="1807" t="s">
        <v>2147</v>
      </c>
      <c r="B112" s="1807" t="s">
        <v>14</v>
      </c>
      <c r="C112" s="1807" t="s">
        <v>2209</v>
      </c>
      <c r="D112" s="1807" t="s">
        <v>2210</v>
      </c>
      <c r="E112" s="1807" t="s">
        <v>2211</v>
      </c>
      <c r="F112" s="1807" t="s">
        <v>2212</v>
      </c>
      <c r="G112" s="1807" t="s">
        <v>18</v>
      </c>
      <c r="H112" s="1807" t="s">
        <v>18</v>
      </c>
      <c r="I112" s="1807" t="s">
        <v>984</v>
      </c>
    </row>
    <row r="113" spans="1:9" ht="11.25" customHeight="1">
      <c r="A113" s="1807" t="s">
        <v>2147</v>
      </c>
      <c r="B113" s="1807" t="s">
        <v>14</v>
      </c>
      <c r="C113" s="1807" t="s">
        <v>2213</v>
      </c>
      <c r="D113" s="1807" t="s">
        <v>2214</v>
      </c>
      <c r="E113" s="1807" t="s">
        <v>2215</v>
      </c>
      <c r="F113" s="1807" t="s">
        <v>52</v>
      </c>
      <c r="G113" s="1807" t="s">
        <v>18</v>
      </c>
      <c r="H113" s="1807" t="s">
        <v>18</v>
      </c>
      <c r="I113" s="1807" t="s">
        <v>984</v>
      </c>
    </row>
    <row r="114" spans="1:9" ht="11.25" customHeight="1">
      <c r="A114" s="1807" t="s">
        <v>2147</v>
      </c>
      <c r="B114" s="1807" t="s">
        <v>14</v>
      </c>
      <c r="C114" s="1807" t="s">
        <v>2216</v>
      </c>
      <c r="D114" s="1807" t="s">
        <v>2217</v>
      </c>
      <c r="E114" s="1807" t="s">
        <v>2218</v>
      </c>
      <c r="F114" s="1807" t="s">
        <v>52</v>
      </c>
      <c r="G114" s="1807" t="s">
        <v>18</v>
      </c>
      <c r="H114" s="1807" t="s">
        <v>18</v>
      </c>
      <c r="I114" s="1807" t="s">
        <v>984</v>
      </c>
    </row>
    <row r="115" spans="1:9" ht="11.25" customHeight="1">
      <c r="A115" s="1807" t="s">
        <v>2147</v>
      </c>
      <c r="B115" s="1807" t="s">
        <v>14</v>
      </c>
      <c r="C115" s="1807" t="s">
        <v>2233</v>
      </c>
      <c r="D115" s="1807" t="s">
        <v>2234</v>
      </c>
      <c r="E115" s="1807" t="s">
        <v>2235</v>
      </c>
      <c r="F115" s="1807" t="s">
        <v>52</v>
      </c>
      <c r="G115" s="1807" t="s">
        <v>18</v>
      </c>
      <c r="H115" s="1807" t="s">
        <v>18</v>
      </c>
      <c r="I115" s="1807" t="s">
        <v>984</v>
      </c>
    </row>
    <row r="116" spans="1:9" ht="11.25" customHeight="1">
      <c r="A116" s="1807" t="s">
        <v>2147</v>
      </c>
      <c r="B116" s="1807" t="s">
        <v>14</v>
      </c>
      <c r="C116" s="1807" t="s">
        <v>2405</v>
      </c>
      <c r="D116" s="1807" t="s">
        <v>2406</v>
      </c>
      <c r="E116" s="1807" t="s">
        <v>2407</v>
      </c>
      <c r="F116" s="1807" t="s">
        <v>2166</v>
      </c>
      <c r="G116" s="1807" t="s">
        <v>18</v>
      </c>
      <c r="H116" s="1807" t="s">
        <v>18</v>
      </c>
      <c r="I116" s="1807" t="s">
        <v>984</v>
      </c>
    </row>
    <row r="117" spans="1:9" ht="11.25" customHeight="1">
      <c r="A117" s="1807" t="s">
        <v>2147</v>
      </c>
      <c r="B117" s="1807" t="s">
        <v>14</v>
      </c>
      <c r="C117" s="1807" t="s">
        <v>2252</v>
      </c>
      <c r="D117" s="1807" t="s">
        <v>47</v>
      </c>
      <c r="E117" s="1807" t="s">
        <v>50</v>
      </c>
      <c r="F117" s="1807" t="s">
        <v>52</v>
      </c>
      <c r="G117" s="1807" t="s">
        <v>18</v>
      </c>
      <c r="H117" s="1807" t="s">
        <v>18</v>
      </c>
      <c r="I117" s="1807" t="s">
        <v>984</v>
      </c>
    </row>
    <row r="118" spans="1:9" ht="11.25" customHeight="1">
      <c r="A118" s="1807" t="s">
        <v>2147</v>
      </c>
      <c r="B118" s="1807" t="s">
        <v>14</v>
      </c>
      <c r="C118" s="1807" t="s">
        <v>2256</v>
      </c>
      <c r="D118" s="1807" t="s">
        <v>2257</v>
      </c>
      <c r="E118" s="1807" t="s">
        <v>2258</v>
      </c>
      <c r="F118" s="1807" t="s">
        <v>2259</v>
      </c>
      <c r="G118" s="1807" t="s">
        <v>18</v>
      </c>
      <c r="H118" s="1807" t="s">
        <v>18</v>
      </c>
      <c r="I118" s="1807" t="s">
        <v>984</v>
      </c>
    </row>
    <row r="119" spans="1:9" ht="11.25" customHeight="1">
      <c r="A119" s="1807" t="s">
        <v>2147</v>
      </c>
      <c r="B119" s="1807" t="s">
        <v>14</v>
      </c>
      <c r="C119" s="1807" t="s">
        <v>2260</v>
      </c>
      <c r="D119" s="1807" t="s">
        <v>2261</v>
      </c>
      <c r="E119" s="1807" t="s">
        <v>2258</v>
      </c>
      <c r="F119" s="1807" t="s">
        <v>2262</v>
      </c>
      <c r="G119" s="1807" t="s">
        <v>2263</v>
      </c>
      <c r="H119" s="1807" t="s">
        <v>18</v>
      </c>
      <c r="I119" s="1807" t="s">
        <v>984</v>
      </c>
    </row>
    <row r="120" spans="1:9" ht="11.25" customHeight="1">
      <c r="A120" s="1807" t="s">
        <v>2147</v>
      </c>
      <c r="B120" s="1807" t="s">
        <v>14</v>
      </c>
      <c r="C120" s="1807" t="s">
        <v>2408</v>
      </c>
      <c r="D120" s="1807" t="s">
        <v>2409</v>
      </c>
      <c r="E120" s="1807" t="s">
        <v>2410</v>
      </c>
      <c r="F120" s="1807" t="s">
        <v>2183</v>
      </c>
      <c r="G120" s="1807" t="s">
        <v>18</v>
      </c>
      <c r="H120" s="1807" t="s">
        <v>18</v>
      </c>
      <c r="I120" s="1807" t="s">
        <v>984</v>
      </c>
    </row>
    <row r="121" spans="1:9" ht="11.25" customHeight="1">
      <c r="A121" s="1807" t="s">
        <v>2147</v>
      </c>
      <c r="B121" s="1807" t="s">
        <v>14</v>
      </c>
      <c r="C121" s="1807" t="s">
        <v>2411</v>
      </c>
      <c r="D121" s="1807" t="s">
        <v>2412</v>
      </c>
      <c r="E121" s="1807" t="s">
        <v>2413</v>
      </c>
      <c r="F121" s="1807" t="s">
        <v>2414</v>
      </c>
      <c r="G121" s="1807" t="s">
        <v>18</v>
      </c>
      <c r="H121" s="1807" t="s">
        <v>2415</v>
      </c>
      <c r="I121" s="1807" t="s">
        <v>984</v>
      </c>
    </row>
    <row r="122" spans="1:9" ht="11.25" customHeight="1">
      <c r="A122" s="1807" t="s">
        <v>2147</v>
      </c>
      <c r="B122" s="1807" t="s">
        <v>14</v>
      </c>
      <c r="C122" s="1807" t="s">
        <v>2416</v>
      </c>
      <c r="D122" s="1807" t="s">
        <v>2417</v>
      </c>
      <c r="E122" s="1807" t="s">
        <v>2418</v>
      </c>
      <c r="F122" s="1807" t="s">
        <v>52</v>
      </c>
      <c r="G122" s="1807" t="s">
        <v>18</v>
      </c>
      <c r="H122" s="1807" t="s">
        <v>18</v>
      </c>
      <c r="I122" s="1807" t="s">
        <v>984</v>
      </c>
    </row>
    <row r="123" spans="1:9" ht="11.25" customHeight="1">
      <c r="A123" s="1807" t="s">
        <v>2147</v>
      </c>
      <c r="B123" s="1807" t="s">
        <v>14</v>
      </c>
      <c r="C123" s="1807" t="s">
        <v>2264</v>
      </c>
      <c r="D123" s="1807" t="s">
        <v>2265</v>
      </c>
      <c r="E123" s="1807" t="s">
        <v>2266</v>
      </c>
      <c r="F123" s="1807" t="s">
        <v>2156</v>
      </c>
      <c r="G123" s="1807" t="s">
        <v>18</v>
      </c>
      <c r="H123" s="1807" t="s">
        <v>18</v>
      </c>
      <c r="I123" s="1807" t="s">
        <v>984</v>
      </c>
    </row>
    <row r="124" spans="1:9" ht="11.25" customHeight="1">
      <c r="A124" s="1807" t="s">
        <v>2147</v>
      </c>
      <c r="B124" s="1807" t="s">
        <v>14</v>
      </c>
      <c r="C124" s="1807" t="s">
        <v>2419</v>
      </c>
      <c r="D124" s="1807" t="s">
        <v>2420</v>
      </c>
      <c r="E124" s="1807" t="s">
        <v>2421</v>
      </c>
      <c r="F124" s="1807" t="s">
        <v>2151</v>
      </c>
      <c r="G124" s="1807" t="s">
        <v>18</v>
      </c>
      <c r="H124" s="1807" t="s">
        <v>18</v>
      </c>
      <c r="I124" s="1807" t="s">
        <v>984</v>
      </c>
    </row>
    <row r="125" spans="1:9" ht="11.25" customHeight="1">
      <c r="A125" s="1807" t="s">
        <v>2147</v>
      </c>
      <c r="B125" s="1807" t="s">
        <v>14</v>
      </c>
      <c r="C125" s="1807" t="s">
        <v>2422</v>
      </c>
      <c r="D125" s="1807" t="s">
        <v>2423</v>
      </c>
      <c r="E125" s="1807" t="s">
        <v>2424</v>
      </c>
      <c r="F125" s="1807" t="s">
        <v>2319</v>
      </c>
      <c r="G125" s="1807" t="s">
        <v>18</v>
      </c>
      <c r="H125" s="1807" t="s">
        <v>18</v>
      </c>
      <c r="I125" s="1807" t="s">
        <v>984</v>
      </c>
    </row>
    <row r="126" spans="1:9" ht="11.25" customHeight="1">
      <c r="A126" s="1807" t="s">
        <v>2147</v>
      </c>
      <c r="B126" s="1807" t="s">
        <v>14</v>
      </c>
      <c r="C126" s="1807" t="s">
        <v>2425</v>
      </c>
      <c r="D126" s="1807" t="s">
        <v>2426</v>
      </c>
      <c r="E126" s="1807" t="s">
        <v>2427</v>
      </c>
      <c r="F126" s="1807" t="s">
        <v>52</v>
      </c>
      <c r="G126" s="1807" t="s">
        <v>18</v>
      </c>
      <c r="H126" s="1807" t="s">
        <v>18</v>
      </c>
      <c r="I126" s="1807" t="s">
        <v>984</v>
      </c>
    </row>
    <row r="127" spans="1:9" ht="11.25" customHeight="1">
      <c r="A127" s="1807" t="s">
        <v>2147</v>
      </c>
      <c r="B127" s="1807" t="s">
        <v>14</v>
      </c>
      <c r="C127" s="1807" t="s">
        <v>2428</v>
      </c>
      <c r="D127" s="1807" t="s">
        <v>2429</v>
      </c>
      <c r="E127" s="1807" t="s">
        <v>2430</v>
      </c>
      <c r="F127" s="1807" t="s">
        <v>2319</v>
      </c>
      <c r="G127" s="1807" t="s">
        <v>18</v>
      </c>
      <c r="H127" s="1807" t="s">
        <v>18</v>
      </c>
      <c r="I127" s="1807" t="s">
        <v>984</v>
      </c>
    </row>
    <row r="128" spans="1:9" ht="11.25" customHeight="1">
      <c r="A128" s="1807" t="s">
        <v>2147</v>
      </c>
      <c r="B128" s="1807" t="s">
        <v>14</v>
      </c>
      <c r="C128" s="1807" t="s">
        <v>2431</v>
      </c>
      <c r="D128" s="1807" t="s">
        <v>2432</v>
      </c>
      <c r="E128" s="1807" t="s">
        <v>2433</v>
      </c>
      <c r="F128" s="1807" t="s">
        <v>421</v>
      </c>
      <c r="G128" s="1807" t="s">
        <v>18</v>
      </c>
      <c r="H128" s="1807" t="s">
        <v>2434</v>
      </c>
      <c r="I128" s="1807" t="s">
        <v>984</v>
      </c>
    </row>
    <row r="129" spans="1:9" ht="11.25" customHeight="1">
      <c r="A129" s="1807" t="s">
        <v>2147</v>
      </c>
      <c r="B129" s="1807" t="s">
        <v>14</v>
      </c>
      <c r="C129" s="1807" t="s">
        <v>2435</v>
      </c>
      <c r="D129" s="1807" t="s">
        <v>2436</v>
      </c>
      <c r="E129" s="1807" t="s">
        <v>2283</v>
      </c>
      <c r="F129" s="1807" t="s">
        <v>2437</v>
      </c>
      <c r="G129" s="1807" t="s">
        <v>2438</v>
      </c>
      <c r="H129" s="1807" t="s">
        <v>18</v>
      </c>
      <c r="I129" s="1807" t="s">
        <v>984</v>
      </c>
    </row>
    <row r="130" spans="1:9" ht="11.25" customHeight="1">
      <c r="A130" s="1807" t="s">
        <v>2147</v>
      </c>
      <c r="B130" s="1807" t="s">
        <v>14</v>
      </c>
      <c r="C130" s="1807" t="s">
        <v>2439</v>
      </c>
      <c r="D130" s="1807" t="s">
        <v>2440</v>
      </c>
      <c r="E130" s="1807" t="s">
        <v>2441</v>
      </c>
      <c r="F130" s="1807" t="s">
        <v>2151</v>
      </c>
      <c r="G130" s="1807" t="s">
        <v>18</v>
      </c>
      <c r="H130" s="1807" t="s">
        <v>18</v>
      </c>
      <c r="I130" s="1807" t="s">
        <v>984</v>
      </c>
    </row>
    <row r="131" spans="1:9" ht="11.25" customHeight="1">
      <c r="A131" s="1807" t="s">
        <v>2147</v>
      </c>
      <c r="B131" s="1807" t="s">
        <v>14</v>
      </c>
      <c r="C131" s="1807" t="s">
        <v>2442</v>
      </c>
      <c r="D131" s="1807" t="s">
        <v>2443</v>
      </c>
      <c r="E131" s="1807" t="s">
        <v>2444</v>
      </c>
      <c r="F131" s="1807" t="s">
        <v>2315</v>
      </c>
      <c r="G131" s="1807" t="s">
        <v>18</v>
      </c>
      <c r="H131" s="1807" t="s">
        <v>18</v>
      </c>
      <c r="I131" s="1807" t="s">
        <v>984</v>
      </c>
    </row>
    <row r="132" spans="1:9" ht="11.25" customHeight="1">
      <c r="A132" s="1807" t="s">
        <v>2147</v>
      </c>
      <c r="B132" s="1807" t="s">
        <v>14</v>
      </c>
      <c r="C132" s="1807" t="s">
        <v>2445</v>
      </c>
      <c r="D132" s="1807" t="s">
        <v>2446</v>
      </c>
      <c r="E132" s="1807" t="s">
        <v>2447</v>
      </c>
      <c r="F132" s="1807" t="s">
        <v>2448</v>
      </c>
      <c r="G132" s="1807" t="s">
        <v>18</v>
      </c>
      <c r="H132" s="1807" t="s">
        <v>18</v>
      </c>
      <c r="I132" s="1807" t="s">
        <v>984</v>
      </c>
    </row>
    <row r="133" spans="1:9" ht="11.25" customHeight="1">
      <c r="A133" s="1807" t="s">
        <v>2147</v>
      </c>
      <c r="B133" s="1807" t="s">
        <v>14</v>
      </c>
      <c r="C133" s="1807" t="s">
        <v>2290</v>
      </c>
      <c r="D133" s="1807" t="s">
        <v>2291</v>
      </c>
      <c r="E133" s="1807" t="s">
        <v>2292</v>
      </c>
      <c r="F133" s="1807" t="s">
        <v>2183</v>
      </c>
      <c r="G133" s="1807" t="s">
        <v>2293</v>
      </c>
      <c r="H133" s="1807" t="s">
        <v>18</v>
      </c>
      <c r="I133" s="1807" t="s">
        <v>984</v>
      </c>
    </row>
    <row r="134" spans="1:9" ht="11.25" customHeight="1">
      <c r="A134" s="1807" t="s">
        <v>2147</v>
      </c>
      <c r="B134" s="1807" t="s">
        <v>14</v>
      </c>
      <c r="C134" s="1807" t="s">
        <v>2294</v>
      </c>
      <c r="D134" s="1807" t="s">
        <v>2295</v>
      </c>
      <c r="E134" s="1807" t="s">
        <v>2296</v>
      </c>
      <c r="F134" s="1807" t="s">
        <v>2183</v>
      </c>
      <c r="G134" s="1807" t="s">
        <v>18</v>
      </c>
      <c r="H134" s="1807" t="s">
        <v>18</v>
      </c>
      <c r="I134" s="1807" t="s">
        <v>984</v>
      </c>
    </row>
    <row r="135" spans="1:9" ht="11.25" customHeight="1">
      <c r="A135" s="1807" t="s">
        <v>2147</v>
      </c>
      <c r="B135" s="1807" t="s">
        <v>14</v>
      </c>
      <c r="C135" s="1807" t="s">
        <v>2307</v>
      </c>
      <c r="D135" s="1807" t="s">
        <v>2308</v>
      </c>
      <c r="E135" s="1807" t="s">
        <v>2309</v>
      </c>
      <c r="F135" s="1807" t="s">
        <v>2310</v>
      </c>
      <c r="G135" s="1807" t="s">
        <v>2311</v>
      </c>
      <c r="H135" s="1807" t="s">
        <v>18</v>
      </c>
      <c r="I135" s="1807" t="s">
        <v>984</v>
      </c>
    </row>
    <row r="136" spans="1:9" ht="11.25" customHeight="1">
      <c r="A136" s="1807" t="s">
        <v>2147</v>
      </c>
      <c r="B136" s="1807" t="s">
        <v>14</v>
      </c>
      <c r="C136" s="1807" t="s">
        <v>2449</v>
      </c>
      <c r="D136" s="1807" t="s">
        <v>2450</v>
      </c>
      <c r="E136" s="1807" t="s">
        <v>2451</v>
      </c>
      <c r="F136" s="1807" t="s">
        <v>2361</v>
      </c>
      <c r="G136" s="1807" t="s">
        <v>18</v>
      </c>
      <c r="H136" s="1807" t="s">
        <v>18</v>
      </c>
      <c r="I136" s="1807" t="s">
        <v>984</v>
      </c>
    </row>
    <row r="137" spans="1:9" ht="11.25" customHeight="1">
      <c r="A137" s="1807" t="s">
        <v>2147</v>
      </c>
      <c r="B137" s="1807" t="s">
        <v>14</v>
      </c>
      <c r="C137" s="1807" t="s">
        <v>2452</v>
      </c>
      <c r="D137" s="1807" t="s">
        <v>2453</v>
      </c>
      <c r="E137" s="1807" t="s">
        <v>2454</v>
      </c>
      <c r="F137" s="1807" t="s">
        <v>2187</v>
      </c>
      <c r="G137" s="1807" t="s">
        <v>18</v>
      </c>
      <c r="H137" s="1807" t="s">
        <v>18</v>
      </c>
      <c r="I137" s="1807" t="s">
        <v>984</v>
      </c>
    </row>
    <row r="138" spans="1:9" ht="11.25" customHeight="1">
      <c r="A138" s="1807" t="s">
        <v>2147</v>
      </c>
      <c r="B138" s="1807" t="s">
        <v>14</v>
      </c>
      <c r="C138" s="1807" t="s">
        <v>2455</v>
      </c>
      <c r="D138" s="1807" t="s">
        <v>2456</v>
      </c>
      <c r="E138" s="1807" t="s">
        <v>2457</v>
      </c>
      <c r="F138" s="1807" t="s">
        <v>2171</v>
      </c>
      <c r="G138" s="1807" t="s">
        <v>18</v>
      </c>
      <c r="H138" s="1807" t="s">
        <v>18</v>
      </c>
      <c r="I138" s="1807" t="s">
        <v>984</v>
      </c>
    </row>
    <row r="139" spans="1:9" ht="11.25" customHeight="1">
      <c r="A139" s="1807" t="s">
        <v>2147</v>
      </c>
      <c r="B139" s="1807" t="s">
        <v>14</v>
      </c>
      <c r="C139" s="1807" t="s">
        <v>2458</v>
      </c>
      <c r="D139" s="1807" t="s">
        <v>2459</v>
      </c>
      <c r="E139" s="1807" t="s">
        <v>2460</v>
      </c>
      <c r="F139" s="1807" t="s">
        <v>2315</v>
      </c>
      <c r="G139" s="1807" t="s">
        <v>18</v>
      </c>
      <c r="H139" s="1807" t="s">
        <v>18</v>
      </c>
      <c r="I139" s="1807" t="s">
        <v>984</v>
      </c>
    </row>
    <row r="140" spans="1:9" ht="11.25" customHeight="1">
      <c r="A140" s="1807" t="s">
        <v>2147</v>
      </c>
      <c r="B140" s="1807" t="s">
        <v>14</v>
      </c>
      <c r="C140" s="1807" t="s">
        <v>2323</v>
      </c>
      <c r="D140" s="1807" t="s">
        <v>2324</v>
      </c>
      <c r="E140" s="1807" t="s">
        <v>2325</v>
      </c>
      <c r="F140" s="1807" t="s">
        <v>2166</v>
      </c>
      <c r="G140" s="1807" t="s">
        <v>18</v>
      </c>
      <c r="H140" s="1807" t="s">
        <v>18</v>
      </c>
      <c r="I140" s="1807" t="s">
        <v>984</v>
      </c>
    </row>
    <row r="141" spans="1:9" ht="11.25" customHeight="1">
      <c r="A141" s="1807" t="s">
        <v>2147</v>
      </c>
      <c r="B141" s="1807" t="s">
        <v>14</v>
      </c>
      <c r="C141" s="1807" t="s">
        <v>2461</v>
      </c>
      <c r="D141" s="1807" t="s">
        <v>2462</v>
      </c>
      <c r="E141" s="1807" t="s">
        <v>2463</v>
      </c>
      <c r="F141" s="1807" t="s">
        <v>2195</v>
      </c>
      <c r="G141" s="1807" t="s">
        <v>18</v>
      </c>
      <c r="H141" s="1807" t="s">
        <v>18</v>
      </c>
      <c r="I141" s="1807" t="s">
        <v>984</v>
      </c>
    </row>
    <row r="142" spans="1:9" ht="11.25" customHeight="1">
      <c r="A142" s="1807" t="s">
        <v>2147</v>
      </c>
      <c r="B142" s="1807" t="s">
        <v>14</v>
      </c>
      <c r="C142" s="1807" t="s">
        <v>2329</v>
      </c>
      <c r="D142" s="1807" t="s">
        <v>2330</v>
      </c>
      <c r="E142" s="1807" t="s">
        <v>2331</v>
      </c>
      <c r="F142" s="1807" t="s">
        <v>52</v>
      </c>
      <c r="G142" s="1807" t="s">
        <v>2332</v>
      </c>
      <c r="H142" s="1807" t="s">
        <v>18</v>
      </c>
      <c r="I142" s="1807" t="s">
        <v>984</v>
      </c>
    </row>
    <row r="143" spans="1:9" ht="11.25" customHeight="1">
      <c r="A143" s="1807" t="s">
        <v>2147</v>
      </c>
      <c r="B143" s="1807" t="s">
        <v>14</v>
      </c>
      <c r="C143" s="1807" t="s">
        <v>2464</v>
      </c>
      <c r="D143" s="1807" t="s">
        <v>2465</v>
      </c>
      <c r="E143" s="1807" t="s">
        <v>2466</v>
      </c>
      <c r="F143" s="1807" t="s">
        <v>2315</v>
      </c>
      <c r="G143" s="1807" t="s">
        <v>18</v>
      </c>
      <c r="H143" s="1807" t="s">
        <v>18</v>
      </c>
      <c r="I143" s="1807" t="s">
        <v>984</v>
      </c>
    </row>
    <row r="144" spans="1:9" ht="11.25" customHeight="1">
      <c r="A144" s="1807" t="s">
        <v>2147</v>
      </c>
      <c r="B144" s="1807" t="s">
        <v>14</v>
      </c>
      <c r="C144" s="1807" t="s">
        <v>2467</v>
      </c>
      <c r="D144" s="1807" t="s">
        <v>2468</v>
      </c>
      <c r="E144" s="1807" t="s">
        <v>2469</v>
      </c>
      <c r="F144" s="1807" t="s">
        <v>2183</v>
      </c>
      <c r="G144" s="1807" t="s">
        <v>18</v>
      </c>
      <c r="H144" s="1807" t="s">
        <v>18</v>
      </c>
      <c r="I144" s="1807" t="s">
        <v>984</v>
      </c>
    </row>
    <row r="145" spans="1:9" ht="11.25" customHeight="1">
      <c r="A145" s="1807" t="s">
        <v>2147</v>
      </c>
      <c r="B145" s="1807" t="s">
        <v>14</v>
      </c>
      <c r="C145" s="1807" t="s">
        <v>2470</v>
      </c>
      <c r="D145" s="1807" t="s">
        <v>2471</v>
      </c>
      <c r="E145" s="1807" t="s">
        <v>2472</v>
      </c>
      <c r="F145" s="1807" t="s">
        <v>2473</v>
      </c>
      <c r="G145" s="1807" t="s">
        <v>18</v>
      </c>
      <c r="H145" s="1807" t="s">
        <v>18</v>
      </c>
      <c r="I145" s="1807" t="s">
        <v>984</v>
      </c>
    </row>
    <row r="146" spans="1:9" ht="11.25" customHeight="1">
      <c r="A146" s="1807" t="s">
        <v>2147</v>
      </c>
      <c r="B146" s="1807" t="s">
        <v>14</v>
      </c>
      <c r="C146" s="1807" t="s">
        <v>2474</v>
      </c>
      <c r="D146" s="1807" t="s">
        <v>2475</v>
      </c>
      <c r="E146" s="1807" t="s">
        <v>2476</v>
      </c>
      <c r="F146" s="1807" t="s">
        <v>2228</v>
      </c>
      <c r="G146" s="1807" t="s">
        <v>2477</v>
      </c>
      <c r="H146" s="1807" t="s">
        <v>18</v>
      </c>
      <c r="I146" s="1807" t="s">
        <v>984</v>
      </c>
    </row>
    <row r="147" spans="1:9" ht="11.25" customHeight="1">
      <c r="A147" s="1807" t="s">
        <v>2147</v>
      </c>
      <c r="B147" s="1807" t="s">
        <v>14</v>
      </c>
      <c r="C147" s="1807" t="s">
        <v>2478</v>
      </c>
      <c r="D147" s="1807" t="s">
        <v>2479</v>
      </c>
      <c r="E147" s="1807" t="s">
        <v>2472</v>
      </c>
      <c r="F147" s="1807" t="s">
        <v>2276</v>
      </c>
      <c r="G147" s="1807" t="s">
        <v>18</v>
      </c>
      <c r="H147" s="1807" t="s">
        <v>18</v>
      </c>
      <c r="I147" s="1807" t="s">
        <v>984</v>
      </c>
    </row>
    <row r="148" spans="1:9" ht="11.25" customHeight="1">
      <c r="A148" s="1807" t="s">
        <v>2147</v>
      </c>
      <c r="B148" s="1807" t="s">
        <v>14</v>
      </c>
      <c r="C148" s="1807" t="s">
        <v>2480</v>
      </c>
      <c r="D148" s="1807" t="s">
        <v>2481</v>
      </c>
      <c r="E148" s="1807" t="s">
        <v>2482</v>
      </c>
      <c r="F148" s="1807" t="s">
        <v>2448</v>
      </c>
      <c r="G148" s="1807" t="s">
        <v>18</v>
      </c>
      <c r="H148" s="1807" t="s">
        <v>18</v>
      </c>
      <c r="I148" s="1807" t="s">
        <v>984</v>
      </c>
    </row>
    <row r="149" spans="1:9" ht="11.25" customHeight="1">
      <c r="A149" s="1807" t="s">
        <v>2147</v>
      </c>
      <c r="B149" s="1807" t="s">
        <v>14</v>
      </c>
      <c r="C149" s="1807" t="s">
        <v>2483</v>
      </c>
      <c r="D149" s="1807" t="s">
        <v>2484</v>
      </c>
      <c r="E149" s="1807" t="s">
        <v>2485</v>
      </c>
      <c r="F149" s="1807" t="s">
        <v>2183</v>
      </c>
      <c r="G149" s="1807" t="s">
        <v>18</v>
      </c>
      <c r="H149" s="1807" t="s">
        <v>18</v>
      </c>
      <c r="I149" s="1807" t="s">
        <v>984</v>
      </c>
    </row>
    <row r="150" spans="1:9" ht="11.25" customHeight="1">
      <c r="A150" s="1807" t="s">
        <v>2147</v>
      </c>
      <c r="B150" s="1807" t="s">
        <v>14</v>
      </c>
      <c r="C150" s="1807" t="s">
        <v>2486</v>
      </c>
      <c r="D150" s="1807" t="s">
        <v>2487</v>
      </c>
      <c r="E150" s="1807" t="s">
        <v>2488</v>
      </c>
      <c r="F150" s="1807" t="s">
        <v>2183</v>
      </c>
      <c r="G150" s="1807" t="s">
        <v>18</v>
      </c>
      <c r="H150" s="1807" t="s">
        <v>18</v>
      </c>
      <c r="I150" s="1807" t="s">
        <v>984</v>
      </c>
    </row>
    <row r="151" spans="1:9" ht="11.25" customHeight="1">
      <c r="A151" s="1807" t="s">
        <v>2147</v>
      </c>
      <c r="B151" s="1807" t="s">
        <v>14</v>
      </c>
      <c r="C151" s="1807" t="s">
        <v>2355</v>
      </c>
      <c r="D151" s="1807" t="s">
        <v>2356</v>
      </c>
      <c r="E151" s="1807" t="s">
        <v>2357</v>
      </c>
      <c r="F151" s="1807" t="s">
        <v>2183</v>
      </c>
      <c r="G151" s="1807" t="s">
        <v>18</v>
      </c>
      <c r="H151" s="1807" t="s">
        <v>18</v>
      </c>
      <c r="I151" s="1807" t="s">
        <v>984</v>
      </c>
    </row>
    <row r="152" spans="1:9" ht="11.25" customHeight="1">
      <c r="A152" s="1807" t="s">
        <v>2147</v>
      </c>
      <c r="B152" s="1807" t="s">
        <v>14</v>
      </c>
      <c r="C152" s="1807" t="s">
        <v>2489</v>
      </c>
      <c r="D152" s="1807" t="s">
        <v>2490</v>
      </c>
      <c r="E152" s="1807" t="s">
        <v>2491</v>
      </c>
      <c r="F152" s="1807" t="s">
        <v>2306</v>
      </c>
      <c r="G152" s="1807" t="s">
        <v>18</v>
      </c>
      <c r="H152" s="1807" t="s">
        <v>18</v>
      </c>
      <c r="I152" s="1807" t="s">
        <v>984</v>
      </c>
    </row>
    <row r="153" spans="1:9" ht="11.25" customHeight="1">
      <c r="A153" s="1807" t="s">
        <v>2147</v>
      </c>
      <c r="B153" s="1807" t="s">
        <v>14</v>
      </c>
      <c r="C153" s="1807" t="s">
        <v>2374</v>
      </c>
      <c r="D153" s="1807" t="s">
        <v>2375</v>
      </c>
      <c r="E153" s="1807" t="s">
        <v>2178</v>
      </c>
      <c r="F153" s="1807" t="s">
        <v>2376</v>
      </c>
      <c r="G153" s="1807" t="s">
        <v>2377</v>
      </c>
      <c r="H153" s="1807" t="s">
        <v>18</v>
      </c>
      <c r="I153" s="1807" t="s">
        <v>984</v>
      </c>
    </row>
    <row r="154" spans="1:9" ht="11.25" customHeight="1">
      <c r="A154" s="1807" t="s">
        <v>2147</v>
      </c>
      <c r="B154" s="1807" t="s">
        <v>14</v>
      </c>
      <c r="C154" s="1807" t="s">
        <v>2492</v>
      </c>
      <c r="D154" s="1807" t="s">
        <v>2493</v>
      </c>
      <c r="E154" s="1807" t="s">
        <v>2494</v>
      </c>
      <c r="F154" s="1807" t="s">
        <v>2495</v>
      </c>
      <c r="G154" s="1807" t="s">
        <v>18</v>
      </c>
      <c r="H154" s="1807" t="s">
        <v>18</v>
      </c>
      <c r="I154" s="1807" t="s">
        <v>984</v>
      </c>
    </row>
    <row r="155" spans="1:9" ht="11.25" customHeight="1">
      <c r="A155" s="1807" t="s">
        <v>2147</v>
      </c>
      <c r="B155" s="1807" t="s">
        <v>14</v>
      </c>
      <c r="C155" s="1807" t="s">
        <v>2496</v>
      </c>
      <c r="D155" s="1807" t="s">
        <v>2497</v>
      </c>
      <c r="E155" s="1807" t="s">
        <v>2498</v>
      </c>
      <c r="F155" s="1807" t="s">
        <v>2339</v>
      </c>
      <c r="G155" s="1807" t="s">
        <v>18</v>
      </c>
      <c r="H155" s="1807" t="s">
        <v>18</v>
      </c>
      <c r="I155" s="1807" t="s">
        <v>984</v>
      </c>
    </row>
    <row r="156" spans="1:9" ht="11.25" customHeight="1">
      <c r="A156" s="1807" t="s">
        <v>2147</v>
      </c>
      <c r="B156" s="1807" t="s">
        <v>14</v>
      </c>
      <c r="C156" s="1807" t="s">
        <v>2378</v>
      </c>
      <c r="D156" s="1807" t="s">
        <v>2379</v>
      </c>
      <c r="E156" s="1807" t="s">
        <v>2380</v>
      </c>
      <c r="F156" s="1807" t="s">
        <v>2183</v>
      </c>
      <c r="G156" s="1807" t="s">
        <v>18</v>
      </c>
      <c r="H156" s="1807" t="s">
        <v>18</v>
      </c>
      <c r="I156" s="1807" t="s">
        <v>984</v>
      </c>
    </row>
    <row r="157" spans="1:9" ht="11.25" customHeight="1">
      <c r="A157" s="1807" t="s">
        <v>2147</v>
      </c>
      <c r="B157" s="1807" t="s">
        <v>14</v>
      </c>
      <c r="C157" s="1807" t="s">
        <v>2499</v>
      </c>
      <c r="D157" s="1807" t="s">
        <v>2500</v>
      </c>
      <c r="E157" s="1807" t="s">
        <v>2501</v>
      </c>
      <c r="F157" s="1807" t="s">
        <v>2315</v>
      </c>
      <c r="G157" s="1807" t="s">
        <v>18</v>
      </c>
      <c r="H157" s="1807" t="s">
        <v>18</v>
      </c>
      <c r="I157" s="1807" t="s">
        <v>984</v>
      </c>
    </row>
    <row r="158" spans="1:9" ht="11.25" customHeight="1">
      <c r="A158" s="1807" t="s">
        <v>2147</v>
      </c>
      <c r="B158" s="1807" t="s">
        <v>14</v>
      </c>
      <c r="C158" s="1807" t="s">
        <v>2502</v>
      </c>
      <c r="D158" s="1807" t="s">
        <v>2503</v>
      </c>
      <c r="E158" s="1807" t="s">
        <v>2504</v>
      </c>
      <c r="F158" s="1807" t="s">
        <v>2166</v>
      </c>
      <c r="G158" s="1807" t="s">
        <v>18</v>
      </c>
      <c r="H158" s="1807" t="s">
        <v>18</v>
      </c>
      <c r="I158" s="1807" t="s">
        <v>984</v>
      </c>
    </row>
    <row r="159" spans="1:9" ht="11.25" customHeight="1">
      <c r="A159" s="1807" t="s">
        <v>2147</v>
      </c>
      <c r="B159" s="1807" t="s">
        <v>14</v>
      </c>
      <c r="C159" s="1807" t="s">
        <v>2395</v>
      </c>
      <c r="D159" s="1807" t="s">
        <v>2396</v>
      </c>
      <c r="E159" s="1807" t="s">
        <v>2393</v>
      </c>
      <c r="F159" s="1807" t="s">
        <v>2397</v>
      </c>
      <c r="G159" s="1807" t="s">
        <v>18</v>
      </c>
      <c r="H159" s="1807" t="s">
        <v>18</v>
      </c>
      <c r="I159" s="1807" t="s">
        <v>984</v>
      </c>
    </row>
    <row r="160" spans="1:9" ht="11.25" customHeight="1">
      <c r="A160" s="1807" t="s">
        <v>2147</v>
      </c>
      <c r="B160" s="1807" t="s">
        <v>14</v>
      </c>
      <c r="C160" s="1807" t="s">
        <v>2391</v>
      </c>
      <c r="D160" s="1807" t="s">
        <v>2392</v>
      </c>
      <c r="E160" s="1807" t="s">
        <v>2393</v>
      </c>
      <c r="F160" s="1807" t="s">
        <v>2394</v>
      </c>
      <c r="G160" s="1807" t="s">
        <v>18</v>
      </c>
      <c r="H160" s="1807" t="s">
        <v>18</v>
      </c>
      <c r="I160" s="1807" t="s">
        <v>984</v>
      </c>
    </row>
    <row r="161" spans="1:9" ht="11.25" customHeight="1">
      <c r="A161" s="1807" t="s">
        <v>2147</v>
      </c>
      <c r="B161" s="1807" t="s">
        <v>14</v>
      </c>
      <c r="C161" s="1807" t="s">
        <v>2398</v>
      </c>
      <c r="D161" s="1807" t="s">
        <v>2177</v>
      </c>
      <c r="E161" s="1807" t="s">
        <v>2178</v>
      </c>
      <c r="F161" s="1807" t="s">
        <v>2399</v>
      </c>
      <c r="G161" s="1807" t="s">
        <v>2400</v>
      </c>
      <c r="H161" s="1807" t="s">
        <v>18</v>
      </c>
      <c r="I161" s="1807" t="s">
        <v>597</v>
      </c>
    </row>
    <row r="162" spans="1:9" ht="11.25" customHeight="1">
      <c r="A162" s="1807" t="s">
        <v>2147</v>
      </c>
      <c r="B162" s="1807" t="s">
        <v>14</v>
      </c>
      <c r="C162" s="1807" t="s">
        <v>2176</v>
      </c>
      <c r="D162" s="1807" t="s">
        <v>2177</v>
      </c>
      <c r="E162" s="1807" t="s">
        <v>2178</v>
      </c>
      <c r="F162" s="1807" t="s">
        <v>2179</v>
      </c>
      <c r="G162" s="1807" t="s">
        <v>18</v>
      </c>
      <c r="H162" s="1807" t="s">
        <v>18</v>
      </c>
      <c r="I162" s="1807" t="s">
        <v>597</v>
      </c>
    </row>
    <row r="163" spans="1:9" ht="11.25" customHeight="1">
      <c r="A163" s="1807" t="s">
        <v>2147</v>
      </c>
      <c r="B163" s="1807" t="s">
        <v>14</v>
      </c>
      <c r="C163" s="1807" t="s">
        <v>2189</v>
      </c>
      <c r="D163" s="1807" t="s">
        <v>2190</v>
      </c>
      <c r="E163" s="1807" t="s">
        <v>2191</v>
      </c>
      <c r="F163" s="1807" t="s">
        <v>2183</v>
      </c>
      <c r="G163" s="1807" t="s">
        <v>18</v>
      </c>
      <c r="H163" s="1807" t="s">
        <v>18</v>
      </c>
      <c r="I163" s="1807" t="s">
        <v>597</v>
      </c>
    </row>
    <row r="164" spans="1:9" ht="11.25" customHeight="1">
      <c r="A164" s="1807" t="s">
        <v>2147</v>
      </c>
      <c r="B164" s="1807" t="s">
        <v>14</v>
      </c>
      <c r="C164" s="1807" t="s">
        <v>2209</v>
      </c>
      <c r="D164" s="1807" t="s">
        <v>2210</v>
      </c>
      <c r="E164" s="1807" t="s">
        <v>2211</v>
      </c>
      <c r="F164" s="1807" t="s">
        <v>2212</v>
      </c>
      <c r="G164" s="1807" t="s">
        <v>18</v>
      </c>
      <c r="H164" s="1807" t="s">
        <v>18</v>
      </c>
      <c r="I164" s="1807" t="s">
        <v>597</v>
      </c>
    </row>
    <row r="165" spans="1:9" ht="11.25" customHeight="1">
      <c r="A165" s="1807" t="s">
        <v>2147</v>
      </c>
      <c r="B165" s="1807" t="s">
        <v>14</v>
      </c>
      <c r="C165" s="1807" t="s">
        <v>2216</v>
      </c>
      <c r="D165" s="1807" t="s">
        <v>2217</v>
      </c>
      <c r="E165" s="1807" t="s">
        <v>2218</v>
      </c>
      <c r="F165" s="1807" t="s">
        <v>52</v>
      </c>
      <c r="G165" s="1807" t="s">
        <v>18</v>
      </c>
      <c r="H165" s="1807" t="s">
        <v>18</v>
      </c>
      <c r="I165" s="1807" t="s">
        <v>597</v>
      </c>
    </row>
    <row r="166" spans="1:9" ht="11.25" customHeight="1">
      <c r="A166" s="1807" t="s">
        <v>2147</v>
      </c>
      <c r="B166" s="1807" t="s">
        <v>14</v>
      </c>
      <c r="C166" s="1807" t="s">
        <v>2233</v>
      </c>
      <c r="D166" s="1807" t="s">
        <v>2234</v>
      </c>
      <c r="E166" s="1807" t="s">
        <v>2235</v>
      </c>
      <c r="F166" s="1807" t="s">
        <v>52</v>
      </c>
      <c r="G166" s="1807" t="s">
        <v>18</v>
      </c>
      <c r="H166" s="1807" t="s">
        <v>18</v>
      </c>
      <c r="I166" s="1807" t="s">
        <v>597</v>
      </c>
    </row>
    <row r="167" spans="1:9" ht="11.25" customHeight="1">
      <c r="A167" s="1807" t="s">
        <v>2147</v>
      </c>
      <c r="B167" s="1807" t="s">
        <v>14</v>
      </c>
      <c r="C167" s="1807" t="s">
        <v>2405</v>
      </c>
      <c r="D167" s="1807" t="s">
        <v>2406</v>
      </c>
      <c r="E167" s="1807" t="s">
        <v>2407</v>
      </c>
      <c r="F167" s="1807" t="s">
        <v>2166</v>
      </c>
      <c r="G167" s="1807" t="s">
        <v>18</v>
      </c>
      <c r="H167" s="1807" t="s">
        <v>18</v>
      </c>
      <c r="I167" s="1807" t="s">
        <v>597</v>
      </c>
    </row>
    <row r="168" spans="1:9" ht="11.25" customHeight="1">
      <c r="A168" s="1807" t="s">
        <v>2147</v>
      </c>
      <c r="B168" s="1807" t="s">
        <v>14</v>
      </c>
      <c r="C168" s="1807" t="s">
        <v>2252</v>
      </c>
      <c r="D168" s="1807" t="s">
        <v>47</v>
      </c>
      <c r="E168" s="1807" t="s">
        <v>50</v>
      </c>
      <c r="F168" s="1807" t="s">
        <v>52</v>
      </c>
      <c r="G168" s="1807" t="s">
        <v>18</v>
      </c>
      <c r="H168" s="1807" t="s">
        <v>18</v>
      </c>
      <c r="I168" s="1807" t="s">
        <v>597</v>
      </c>
    </row>
    <row r="169" spans="1:9" ht="11.25" customHeight="1">
      <c r="A169" s="1807" t="s">
        <v>2147</v>
      </c>
      <c r="B169" s="1807" t="s">
        <v>14</v>
      </c>
      <c r="C169" s="1807" t="s">
        <v>2256</v>
      </c>
      <c r="D169" s="1807" t="s">
        <v>2257</v>
      </c>
      <c r="E169" s="1807" t="s">
        <v>2258</v>
      </c>
      <c r="F169" s="1807" t="s">
        <v>2259</v>
      </c>
      <c r="G169" s="1807" t="s">
        <v>18</v>
      </c>
      <c r="H169" s="1807" t="s">
        <v>18</v>
      </c>
      <c r="I169" s="1807" t="s">
        <v>597</v>
      </c>
    </row>
    <row r="170" spans="1:9" ht="11.25" customHeight="1">
      <c r="A170" s="1807" t="s">
        <v>2147</v>
      </c>
      <c r="B170" s="1807" t="s">
        <v>14</v>
      </c>
      <c r="C170" s="1807" t="s">
        <v>2408</v>
      </c>
      <c r="D170" s="1807" t="s">
        <v>2409</v>
      </c>
      <c r="E170" s="1807" t="s">
        <v>2410</v>
      </c>
      <c r="F170" s="1807" t="s">
        <v>2183</v>
      </c>
      <c r="G170" s="1807" t="s">
        <v>18</v>
      </c>
      <c r="H170" s="1807" t="s">
        <v>18</v>
      </c>
      <c r="I170" s="1807" t="s">
        <v>597</v>
      </c>
    </row>
    <row r="171" spans="1:9" ht="11.25" customHeight="1">
      <c r="A171" s="1807" t="s">
        <v>2147</v>
      </c>
      <c r="B171" s="1807" t="s">
        <v>14</v>
      </c>
      <c r="C171" s="1807" t="s">
        <v>2411</v>
      </c>
      <c r="D171" s="1807" t="s">
        <v>2412</v>
      </c>
      <c r="E171" s="1807" t="s">
        <v>2413</v>
      </c>
      <c r="F171" s="1807" t="s">
        <v>2414</v>
      </c>
      <c r="G171" s="1807" t="s">
        <v>18</v>
      </c>
      <c r="H171" s="1807" t="s">
        <v>2415</v>
      </c>
      <c r="I171" s="1807" t="s">
        <v>597</v>
      </c>
    </row>
    <row r="172" spans="1:9" ht="11.25" customHeight="1">
      <c r="A172" s="1807" t="s">
        <v>2147</v>
      </c>
      <c r="B172" s="1807" t="s">
        <v>14</v>
      </c>
      <c r="C172" s="1807" t="s">
        <v>2416</v>
      </c>
      <c r="D172" s="1807" t="s">
        <v>2417</v>
      </c>
      <c r="E172" s="1807" t="s">
        <v>2418</v>
      </c>
      <c r="F172" s="1807" t="s">
        <v>52</v>
      </c>
      <c r="G172" s="1807" t="s">
        <v>18</v>
      </c>
      <c r="H172" s="1807" t="s">
        <v>18</v>
      </c>
      <c r="I172" s="1807" t="s">
        <v>597</v>
      </c>
    </row>
    <row r="173" spans="1:9" ht="11.25" customHeight="1">
      <c r="A173" s="1807" t="s">
        <v>2147</v>
      </c>
      <c r="B173" s="1807" t="s">
        <v>14</v>
      </c>
      <c r="C173" s="1807" t="s">
        <v>2264</v>
      </c>
      <c r="D173" s="1807" t="s">
        <v>2265</v>
      </c>
      <c r="E173" s="1807" t="s">
        <v>2266</v>
      </c>
      <c r="F173" s="1807" t="s">
        <v>2156</v>
      </c>
      <c r="G173" s="1807" t="s">
        <v>18</v>
      </c>
      <c r="H173" s="1807" t="s">
        <v>18</v>
      </c>
      <c r="I173" s="1807" t="s">
        <v>597</v>
      </c>
    </row>
    <row r="174" spans="1:9" ht="11.25" customHeight="1">
      <c r="A174" s="1807" t="s">
        <v>2147</v>
      </c>
      <c r="B174" s="1807" t="s">
        <v>14</v>
      </c>
      <c r="C174" s="1807" t="s">
        <v>2419</v>
      </c>
      <c r="D174" s="1807" t="s">
        <v>2420</v>
      </c>
      <c r="E174" s="1807" t="s">
        <v>2421</v>
      </c>
      <c r="F174" s="1807" t="s">
        <v>2151</v>
      </c>
      <c r="G174" s="1807" t="s">
        <v>18</v>
      </c>
      <c r="H174" s="1807" t="s">
        <v>18</v>
      </c>
      <c r="I174" s="1807" t="s">
        <v>597</v>
      </c>
    </row>
    <row r="175" spans="1:9" ht="11.25" customHeight="1">
      <c r="A175" s="1807" t="s">
        <v>2147</v>
      </c>
      <c r="B175" s="1807" t="s">
        <v>14</v>
      </c>
      <c r="C175" s="1807" t="s">
        <v>2425</v>
      </c>
      <c r="D175" s="1807" t="s">
        <v>2426</v>
      </c>
      <c r="E175" s="1807" t="s">
        <v>2427</v>
      </c>
      <c r="F175" s="1807" t="s">
        <v>52</v>
      </c>
      <c r="G175" s="1807" t="s">
        <v>18</v>
      </c>
      <c r="H175" s="1807" t="s">
        <v>18</v>
      </c>
      <c r="I175" s="1807" t="s">
        <v>597</v>
      </c>
    </row>
    <row r="176" spans="1:9" ht="11.25" customHeight="1">
      <c r="A176" s="1807" t="s">
        <v>2147</v>
      </c>
      <c r="B176" s="1807" t="s">
        <v>14</v>
      </c>
      <c r="C176" s="1807" t="s">
        <v>2505</v>
      </c>
      <c r="D176" s="1807" t="s">
        <v>2506</v>
      </c>
      <c r="E176" s="1807" t="s">
        <v>2507</v>
      </c>
      <c r="F176" s="1807" t="s">
        <v>2306</v>
      </c>
      <c r="G176" s="1807" t="s">
        <v>18</v>
      </c>
      <c r="H176" s="1807" t="s">
        <v>18</v>
      </c>
      <c r="I176" s="1807" t="s">
        <v>597</v>
      </c>
    </row>
    <row r="177" spans="1:9" ht="11.25" customHeight="1">
      <c r="A177" s="1807" t="s">
        <v>2147</v>
      </c>
      <c r="B177" s="1807" t="s">
        <v>14</v>
      </c>
      <c r="C177" s="1807" t="s">
        <v>2294</v>
      </c>
      <c r="D177" s="1807" t="s">
        <v>2295</v>
      </c>
      <c r="E177" s="1807" t="s">
        <v>2296</v>
      </c>
      <c r="F177" s="1807" t="s">
        <v>2183</v>
      </c>
      <c r="G177" s="1807" t="s">
        <v>18</v>
      </c>
      <c r="H177" s="1807" t="s">
        <v>18</v>
      </c>
      <c r="I177" s="1807" t="s">
        <v>597</v>
      </c>
    </row>
    <row r="178" spans="1:9" ht="11.25" customHeight="1">
      <c r="A178" s="1807" t="s">
        <v>2147</v>
      </c>
      <c r="B178" s="1807" t="s">
        <v>14</v>
      </c>
      <c r="C178" s="1807" t="s">
        <v>2449</v>
      </c>
      <c r="D178" s="1807" t="s">
        <v>2450</v>
      </c>
      <c r="E178" s="1807" t="s">
        <v>2451</v>
      </c>
      <c r="F178" s="1807" t="s">
        <v>2361</v>
      </c>
      <c r="G178" s="1807" t="s">
        <v>18</v>
      </c>
      <c r="H178" s="1807" t="s">
        <v>18</v>
      </c>
      <c r="I178" s="1807" t="s">
        <v>597</v>
      </c>
    </row>
    <row r="179" spans="1:9" ht="11.25" customHeight="1">
      <c r="A179" s="1807" t="s">
        <v>2147</v>
      </c>
      <c r="B179" s="1807" t="s">
        <v>14</v>
      </c>
      <c r="C179" s="1807" t="s">
        <v>2452</v>
      </c>
      <c r="D179" s="1807" t="s">
        <v>2453</v>
      </c>
      <c r="E179" s="1807" t="s">
        <v>2454</v>
      </c>
      <c r="F179" s="1807" t="s">
        <v>2187</v>
      </c>
      <c r="G179" s="1807" t="s">
        <v>18</v>
      </c>
      <c r="H179" s="1807" t="s">
        <v>18</v>
      </c>
      <c r="I179" s="1807" t="s">
        <v>597</v>
      </c>
    </row>
    <row r="180" spans="1:9" ht="11.25" customHeight="1">
      <c r="A180" s="1807" t="s">
        <v>2147</v>
      </c>
      <c r="B180" s="1807" t="s">
        <v>14</v>
      </c>
      <c r="C180" s="1807" t="s">
        <v>2455</v>
      </c>
      <c r="D180" s="1807" t="s">
        <v>2456</v>
      </c>
      <c r="E180" s="1807" t="s">
        <v>2457</v>
      </c>
      <c r="F180" s="1807" t="s">
        <v>2171</v>
      </c>
      <c r="G180" s="1807" t="s">
        <v>18</v>
      </c>
      <c r="H180" s="1807" t="s">
        <v>18</v>
      </c>
      <c r="I180" s="1807" t="s">
        <v>597</v>
      </c>
    </row>
    <row r="181" spans="1:9" ht="11.25" customHeight="1">
      <c r="A181" s="1807" t="s">
        <v>2147</v>
      </c>
      <c r="B181" s="1807" t="s">
        <v>14</v>
      </c>
      <c r="C181" s="1807" t="s">
        <v>2320</v>
      </c>
      <c r="D181" s="1807" t="s">
        <v>2321</v>
      </c>
      <c r="E181" s="1807" t="s">
        <v>2322</v>
      </c>
      <c r="F181" s="1807" t="s">
        <v>2166</v>
      </c>
      <c r="G181" s="1807" t="s">
        <v>18</v>
      </c>
      <c r="H181" s="1807" t="s">
        <v>18</v>
      </c>
      <c r="I181" s="1807" t="s">
        <v>597</v>
      </c>
    </row>
    <row r="182" spans="1:9" ht="11.25" customHeight="1">
      <c r="A182" s="1807" t="s">
        <v>2147</v>
      </c>
      <c r="B182" s="1807" t="s">
        <v>14</v>
      </c>
      <c r="C182" s="1807" t="s">
        <v>2461</v>
      </c>
      <c r="D182" s="1807" t="s">
        <v>2462</v>
      </c>
      <c r="E182" s="1807" t="s">
        <v>2463</v>
      </c>
      <c r="F182" s="1807" t="s">
        <v>2195</v>
      </c>
      <c r="G182" s="1807" t="s">
        <v>18</v>
      </c>
      <c r="H182" s="1807" t="s">
        <v>18</v>
      </c>
      <c r="I182" s="1807" t="s">
        <v>597</v>
      </c>
    </row>
    <row r="183" spans="1:9" ht="11.25" customHeight="1">
      <c r="A183" s="1807" t="s">
        <v>2147</v>
      </c>
      <c r="B183" s="1807" t="s">
        <v>14</v>
      </c>
      <c r="C183" s="1807" t="s">
        <v>2329</v>
      </c>
      <c r="D183" s="1807" t="s">
        <v>2330</v>
      </c>
      <c r="E183" s="1807" t="s">
        <v>2331</v>
      </c>
      <c r="F183" s="1807" t="s">
        <v>52</v>
      </c>
      <c r="G183" s="1807" t="s">
        <v>2332</v>
      </c>
      <c r="H183" s="1807" t="s">
        <v>18</v>
      </c>
      <c r="I183" s="1807" t="s">
        <v>597</v>
      </c>
    </row>
    <row r="184" spans="1:9" ht="11.25" customHeight="1">
      <c r="A184" s="1807" t="s">
        <v>2147</v>
      </c>
      <c r="B184" s="1807" t="s">
        <v>14</v>
      </c>
      <c r="C184" s="1807" t="s">
        <v>2508</v>
      </c>
      <c r="D184" s="1807" t="s">
        <v>2509</v>
      </c>
      <c r="E184" s="1807" t="s">
        <v>2510</v>
      </c>
      <c r="F184" s="1807" t="s">
        <v>2361</v>
      </c>
      <c r="G184" s="1807" t="s">
        <v>18</v>
      </c>
      <c r="H184" s="1807" t="s">
        <v>18</v>
      </c>
      <c r="I184" s="1807" t="s">
        <v>597</v>
      </c>
    </row>
    <row r="185" spans="1:9" ht="11.25" customHeight="1">
      <c r="A185" s="1807" t="s">
        <v>2147</v>
      </c>
      <c r="B185" s="1807" t="s">
        <v>14</v>
      </c>
      <c r="C185" s="1807" t="s">
        <v>2464</v>
      </c>
      <c r="D185" s="1807" t="s">
        <v>2465</v>
      </c>
      <c r="E185" s="1807" t="s">
        <v>2466</v>
      </c>
      <c r="F185" s="1807" t="s">
        <v>2315</v>
      </c>
      <c r="G185" s="1807" t="s">
        <v>18</v>
      </c>
      <c r="H185" s="1807" t="s">
        <v>18</v>
      </c>
      <c r="I185" s="1807" t="s">
        <v>597</v>
      </c>
    </row>
    <row r="186" spans="1:9" ht="11.25" customHeight="1">
      <c r="A186" s="1807" t="s">
        <v>2147</v>
      </c>
      <c r="B186" s="1807" t="s">
        <v>14</v>
      </c>
      <c r="C186" s="1807" t="s">
        <v>2467</v>
      </c>
      <c r="D186" s="1807" t="s">
        <v>2468</v>
      </c>
      <c r="E186" s="1807" t="s">
        <v>2469</v>
      </c>
      <c r="F186" s="1807" t="s">
        <v>2183</v>
      </c>
      <c r="G186" s="1807" t="s">
        <v>18</v>
      </c>
      <c r="H186" s="1807" t="s">
        <v>18</v>
      </c>
      <c r="I186" s="1807" t="s">
        <v>597</v>
      </c>
    </row>
    <row r="187" spans="1:9" ht="11.25" customHeight="1">
      <c r="A187" s="1807" t="s">
        <v>2147</v>
      </c>
      <c r="B187" s="1807" t="s">
        <v>14</v>
      </c>
      <c r="C187" s="1807" t="s">
        <v>2474</v>
      </c>
      <c r="D187" s="1807" t="s">
        <v>2475</v>
      </c>
      <c r="E187" s="1807" t="s">
        <v>2476</v>
      </c>
      <c r="F187" s="1807" t="s">
        <v>2228</v>
      </c>
      <c r="G187" s="1807" t="s">
        <v>2477</v>
      </c>
      <c r="H187" s="1807" t="s">
        <v>18</v>
      </c>
      <c r="I187" s="1807" t="s">
        <v>597</v>
      </c>
    </row>
    <row r="188" spans="1:9" ht="11.25" customHeight="1">
      <c r="A188" s="1807" t="s">
        <v>2147</v>
      </c>
      <c r="B188" s="1807" t="s">
        <v>14</v>
      </c>
      <c r="C188" s="1807" t="s">
        <v>2478</v>
      </c>
      <c r="D188" s="1807" t="s">
        <v>2479</v>
      </c>
      <c r="E188" s="1807" t="s">
        <v>2472</v>
      </c>
      <c r="F188" s="1807" t="s">
        <v>2276</v>
      </c>
      <c r="G188" s="1807" t="s">
        <v>18</v>
      </c>
      <c r="H188" s="1807" t="s">
        <v>18</v>
      </c>
      <c r="I188" s="1807" t="s">
        <v>597</v>
      </c>
    </row>
    <row r="189" spans="1:9" ht="11.25" customHeight="1">
      <c r="A189" s="1807" t="s">
        <v>2147</v>
      </c>
      <c r="B189" s="1807" t="s">
        <v>14</v>
      </c>
      <c r="C189" s="1807" t="s">
        <v>2480</v>
      </c>
      <c r="D189" s="1807" t="s">
        <v>2481</v>
      </c>
      <c r="E189" s="1807" t="s">
        <v>2482</v>
      </c>
      <c r="F189" s="1807" t="s">
        <v>2448</v>
      </c>
      <c r="G189" s="1807" t="s">
        <v>18</v>
      </c>
      <c r="H189" s="1807" t="s">
        <v>18</v>
      </c>
      <c r="I189" s="1807" t="s">
        <v>597</v>
      </c>
    </row>
    <row r="190" spans="1:9" ht="11.25" customHeight="1">
      <c r="A190" s="1807" t="s">
        <v>2147</v>
      </c>
      <c r="B190" s="1807" t="s">
        <v>14</v>
      </c>
      <c r="C190" s="1807" t="s">
        <v>2486</v>
      </c>
      <c r="D190" s="1807" t="s">
        <v>2487</v>
      </c>
      <c r="E190" s="1807" t="s">
        <v>2488</v>
      </c>
      <c r="F190" s="1807" t="s">
        <v>2183</v>
      </c>
      <c r="G190" s="1807" t="s">
        <v>18</v>
      </c>
      <c r="H190" s="1807" t="s">
        <v>18</v>
      </c>
      <c r="I190" s="1807" t="s">
        <v>597</v>
      </c>
    </row>
    <row r="191" spans="1:9" ht="11.25" customHeight="1">
      <c r="A191" s="1807" t="s">
        <v>2147</v>
      </c>
      <c r="B191" s="1807" t="s">
        <v>14</v>
      </c>
      <c r="C191" s="1807" t="s">
        <v>2511</v>
      </c>
      <c r="D191" s="1807" t="s">
        <v>2512</v>
      </c>
      <c r="E191" s="1807" t="s">
        <v>2513</v>
      </c>
      <c r="F191" s="1807" t="s">
        <v>2232</v>
      </c>
      <c r="G191" s="1807" t="s">
        <v>18</v>
      </c>
      <c r="H191" s="1807" t="s">
        <v>18</v>
      </c>
      <c r="I191" s="1807" t="s">
        <v>597</v>
      </c>
    </row>
    <row r="192" spans="1:9" ht="11.25" customHeight="1">
      <c r="A192" s="1807" t="s">
        <v>2147</v>
      </c>
      <c r="B192" s="1807" t="s">
        <v>14</v>
      </c>
      <c r="C192" s="1807" t="s">
        <v>2489</v>
      </c>
      <c r="D192" s="1807" t="s">
        <v>2490</v>
      </c>
      <c r="E192" s="1807" t="s">
        <v>2491</v>
      </c>
      <c r="F192" s="1807" t="s">
        <v>2306</v>
      </c>
      <c r="G192" s="1807" t="s">
        <v>18</v>
      </c>
      <c r="H192" s="1807" t="s">
        <v>18</v>
      </c>
      <c r="I192" s="1807" t="s">
        <v>597</v>
      </c>
    </row>
    <row r="193" spans="1:9" ht="11.25" customHeight="1">
      <c r="A193" s="1807" t="s">
        <v>2147</v>
      </c>
      <c r="B193" s="1807" t="s">
        <v>14</v>
      </c>
      <c r="C193" s="1807" t="s">
        <v>2374</v>
      </c>
      <c r="D193" s="1807" t="s">
        <v>2375</v>
      </c>
      <c r="E193" s="1807" t="s">
        <v>2178</v>
      </c>
      <c r="F193" s="1807" t="s">
        <v>2376</v>
      </c>
      <c r="G193" s="1807" t="s">
        <v>2377</v>
      </c>
      <c r="H193" s="1807" t="s">
        <v>18</v>
      </c>
      <c r="I193" s="1807" t="s">
        <v>597</v>
      </c>
    </row>
    <row r="194" spans="1:9" ht="11.25" customHeight="1">
      <c r="A194" s="1807" t="s">
        <v>2147</v>
      </c>
      <c r="B194" s="1807" t="s">
        <v>14</v>
      </c>
      <c r="C194" s="1807" t="s">
        <v>2492</v>
      </c>
      <c r="D194" s="1807" t="s">
        <v>2493</v>
      </c>
      <c r="E194" s="1807" t="s">
        <v>2494</v>
      </c>
      <c r="F194" s="1807" t="s">
        <v>2495</v>
      </c>
      <c r="G194" s="1807" t="s">
        <v>18</v>
      </c>
      <c r="H194" s="1807" t="s">
        <v>18</v>
      </c>
      <c r="I194" s="1807" t="s">
        <v>597</v>
      </c>
    </row>
    <row r="195" spans="1:9" ht="11.25" customHeight="1">
      <c r="A195" s="1807" t="s">
        <v>2147</v>
      </c>
      <c r="B195" s="1807" t="s">
        <v>14</v>
      </c>
      <c r="C195" s="1807" t="s">
        <v>2496</v>
      </c>
      <c r="D195" s="1807" t="s">
        <v>2497</v>
      </c>
      <c r="E195" s="1807" t="s">
        <v>2498</v>
      </c>
      <c r="F195" s="1807" t="s">
        <v>2339</v>
      </c>
      <c r="G195" s="1807" t="s">
        <v>18</v>
      </c>
      <c r="H195" s="1807" t="s">
        <v>18</v>
      </c>
      <c r="I195" s="1807" t="s">
        <v>597</v>
      </c>
    </row>
    <row r="196" spans="1:9" ht="11.25" customHeight="1">
      <c r="A196" s="1807" t="s">
        <v>2147</v>
      </c>
      <c r="B196" s="1807" t="s">
        <v>14</v>
      </c>
      <c r="C196" s="1807" t="s">
        <v>2378</v>
      </c>
      <c r="D196" s="1807" t="s">
        <v>2379</v>
      </c>
      <c r="E196" s="1807" t="s">
        <v>2380</v>
      </c>
      <c r="F196" s="1807" t="s">
        <v>2183</v>
      </c>
      <c r="G196" s="1807" t="s">
        <v>18</v>
      </c>
      <c r="H196" s="1807" t="s">
        <v>18</v>
      </c>
      <c r="I196" s="1807" t="s">
        <v>597</v>
      </c>
    </row>
    <row r="197" spans="1:9" ht="11.25" customHeight="1">
      <c r="A197" s="1807" t="s">
        <v>2147</v>
      </c>
      <c r="B197" s="1807" t="s">
        <v>14</v>
      </c>
      <c r="C197" s="1807" t="s">
        <v>2502</v>
      </c>
      <c r="D197" s="1807" t="s">
        <v>2503</v>
      </c>
      <c r="E197" s="1807" t="s">
        <v>2504</v>
      </c>
      <c r="F197" s="1807" t="s">
        <v>2166</v>
      </c>
      <c r="G197" s="1807" t="s">
        <v>18</v>
      </c>
      <c r="H197" s="1807" t="s">
        <v>18</v>
      </c>
      <c r="I197" s="1807" t="s">
        <v>597</v>
      </c>
    </row>
    <row r="198" spans="1:9" ht="11.25" customHeight="1">
      <c r="A198" s="1807" t="s">
        <v>2147</v>
      </c>
      <c r="B198" s="1807" t="s">
        <v>14</v>
      </c>
      <c r="C198" s="1807" t="s">
        <v>2391</v>
      </c>
      <c r="D198" s="1807" t="s">
        <v>2392</v>
      </c>
      <c r="E198" s="1807" t="s">
        <v>2393</v>
      </c>
      <c r="F198" s="1807" t="s">
        <v>2394</v>
      </c>
      <c r="G198" s="1807" t="s">
        <v>18</v>
      </c>
      <c r="H198" s="1807" t="s">
        <v>18</v>
      </c>
      <c r="I198" s="1807" t="s">
        <v>597</v>
      </c>
    </row>
    <row r="199" spans="1:9" ht="11.25" customHeight="1">
      <c r="A199" s="1807" t="s">
        <v>2147</v>
      </c>
      <c r="B199" s="1807" t="s">
        <v>14</v>
      </c>
      <c r="C199" s="1807" t="s">
        <v>2514</v>
      </c>
      <c r="D199" s="1807" t="s">
        <v>2515</v>
      </c>
      <c r="E199" s="1807" t="s">
        <v>2516</v>
      </c>
      <c r="F199" s="1807" t="s">
        <v>2361</v>
      </c>
      <c r="G199" s="1807" t="s">
        <v>18</v>
      </c>
      <c r="H199" s="1807" t="s">
        <v>18</v>
      </c>
      <c r="I199" s="1807" t="s">
        <v>1015</v>
      </c>
    </row>
    <row r="200" spans="1:9" ht="11.25" customHeight="1">
      <c r="A200" s="1807" t="s">
        <v>2147</v>
      </c>
      <c r="B200" s="1807" t="s">
        <v>14</v>
      </c>
      <c r="C200" s="1807" t="s">
        <v>2517</v>
      </c>
      <c r="D200" s="1807" t="s">
        <v>2518</v>
      </c>
      <c r="E200" s="1807" t="s">
        <v>2519</v>
      </c>
      <c r="F200" s="1807" t="s">
        <v>2228</v>
      </c>
      <c r="G200" s="1807" t="s">
        <v>18</v>
      </c>
      <c r="H200" s="1807" t="s">
        <v>2520</v>
      </c>
      <c r="I200" s="1807" t="s">
        <v>1015</v>
      </c>
    </row>
    <row r="201" spans="1:9" ht="11.25" customHeight="1">
      <c r="A201" s="1807" t="s">
        <v>2147</v>
      </c>
      <c r="B201" s="1807" t="s">
        <v>14</v>
      </c>
      <c r="C201" s="1807" t="s">
        <v>2521</v>
      </c>
      <c r="D201" s="1807" t="s">
        <v>2518</v>
      </c>
      <c r="E201" s="1807" t="s">
        <v>2522</v>
      </c>
      <c r="F201" s="1807" t="s">
        <v>2243</v>
      </c>
      <c r="G201" s="1807" t="s">
        <v>18</v>
      </c>
      <c r="H201" s="1807" t="s">
        <v>18</v>
      </c>
      <c r="I201" s="1807" t="s">
        <v>1015</v>
      </c>
    </row>
    <row r="202" spans="1:9" ht="11.25" customHeight="1">
      <c r="A202" s="1807" t="s">
        <v>2147</v>
      </c>
      <c r="B202" s="1807" t="s">
        <v>14</v>
      </c>
      <c r="C202" s="1807" t="s">
        <v>2273</v>
      </c>
      <c r="D202" s="1807" t="s">
        <v>2274</v>
      </c>
      <c r="E202" s="1807" t="s">
        <v>2275</v>
      </c>
      <c r="F202" s="1807" t="s">
        <v>2276</v>
      </c>
      <c r="G202" s="1807" t="s">
        <v>18</v>
      </c>
      <c r="H202" s="1807" t="s">
        <v>18</v>
      </c>
      <c r="I202" s="1807" t="s">
        <v>1015</v>
      </c>
    </row>
    <row r="203" spans="1:9" ht="11.25" customHeight="1">
      <c r="A203" s="1807" t="s">
        <v>2147</v>
      </c>
      <c r="B203" s="1807" t="s">
        <v>14</v>
      </c>
      <c r="C203" s="1807" t="s">
        <v>2523</v>
      </c>
      <c r="D203" s="1807" t="s">
        <v>2524</v>
      </c>
      <c r="E203" s="1807" t="s">
        <v>2525</v>
      </c>
      <c r="F203" s="1807" t="s">
        <v>2239</v>
      </c>
      <c r="G203" s="1807" t="s">
        <v>18</v>
      </c>
      <c r="H203" s="1807" t="s">
        <v>18</v>
      </c>
      <c r="I203" s="1807" t="s">
        <v>1015</v>
      </c>
    </row>
    <row r="204" spans="1:9" ht="11.25" customHeight="1">
      <c r="A204" s="1807" t="s">
        <v>2147</v>
      </c>
      <c r="B204" s="1807" t="s">
        <v>14</v>
      </c>
      <c r="C204" s="1807" t="s">
        <v>2526</v>
      </c>
      <c r="D204" s="1807" t="s">
        <v>2527</v>
      </c>
      <c r="E204" s="1807" t="s">
        <v>2528</v>
      </c>
      <c r="F204" s="1807" t="s">
        <v>2448</v>
      </c>
      <c r="G204" s="1807" t="s">
        <v>18</v>
      </c>
      <c r="H204" s="1807" t="s">
        <v>18</v>
      </c>
      <c r="I204" s="1807" t="s">
        <v>1015</v>
      </c>
    </row>
    <row r="205" spans="1:9" ht="11.25" customHeight="1">
      <c r="A205" s="1807" t="s">
        <v>2147</v>
      </c>
      <c r="B205" s="1807" t="s">
        <v>14</v>
      </c>
      <c r="C205" s="1807" t="s">
        <v>2529</v>
      </c>
      <c r="D205" s="1807" t="s">
        <v>2530</v>
      </c>
      <c r="E205" s="1807" t="s">
        <v>2531</v>
      </c>
      <c r="F205" s="1807" t="s">
        <v>2319</v>
      </c>
      <c r="G205" s="1807" t="s">
        <v>18</v>
      </c>
      <c r="H205" s="1807" t="s">
        <v>18</v>
      </c>
      <c r="I205" s="1807" t="s">
        <v>1015</v>
      </c>
    </row>
    <row r="206" spans="1:9" ht="11.25" customHeight="1">
      <c r="A206" s="1807" t="s">
        <v>2147</v>
      </c>
      <c r="B206" s="1807" t="s">
        <v>14</v>
      </c>
      <c r="C206" s="1807" t="s">
        <v>2532</v>
      </c>
      <c r="D206" s="1807" t="s">
        <v>2533</v>
      </c>
      <c r="E206" s="1807" t="s">
        <v>2534</v>
      </c>
      <c r="F206" s="1807" t="s">
        <v>2156</v>
      </c>
      <c r="G206" s="1807" t="s">
        <v>18</v>
      </c>
      <c r="H206" s="1807" t="s">
        <v>18</v>
      </c>
      <c r="I206" s="1807" t="s">
        <v>1015</v>
      </c>
    </row>
    <row r="207" spans="1:9" ht="11.25" customHeight="1">
      <c r="A207" s="1807" t="s">
        <v>2147</v>
      </c>
      <c r="B207" s="1807" t="s">
        <v>14</v>
      </c>
      <c r="C207" s="1807" t="s">
        <v>2535</v>
      </c>
      <c r="D207" s="1807" t="s">
        <v>2536</v>
      </c>
      <c r="E207" s="1807" t="s">
        <v>2537</v>
      </c>
      <c r="F207" s="1807" t="s">
        <v>2414</v>
      </c>
      <c r="G207" s="1807" t="s">
        <v>18</v>
      </c>
      <c r="H207" s="1807" t="s">
        <v>18</v>
      </c>
      <c r="I207" s="1807" t="s">
        <v>1015</v>
      </c>
    </row>
    <row r="208" spans="1:9" ht="11.25" customHeight="1">
      <c r="A208" s="1807" t="s">
        <v>2147</v>
      </c>
      <c r="B208" s="1807" t="s">
        <v>14</v>
      </c>
      <c r="C208" s="1807" t="s">
        <v>2538</v>
      </c>
      <c r="D208" s="1807" t="s">
        <v>2539</v>
      </c>
      <c r="E208" s="1807" t="s">
        <v>2540</v>
      </c>
      <c r="F208" s="1807" t="s">
        <v>2183</v>
      </c>
      <c r="G208" s="1807" t="s">
        <v>18</v>
      </c>
      <c r="H208" s="1807" t="s">
        <v>18</v>
      </c>
      <c r="I208" s="1807" t="s">
        <v>1015</v>
      </c>
    </row>
    <row r="209" spans="1:9" ht="11.25" customHeight="1">
      <c r="A209" s="1807" t="s">
        <v>2147</v>
      </c>
      <c r="B209" s="1807" t="s">
        <v>14</v>
      </c>
      <c r="C209" s="1807" t="s">
        <v>2541</v>
      </c>
      <c r="D209" s="1807" t="s">
        <v>2542</v>
      </c>
      <c r="E209" s="1807" t="s">
        <v>2543</v>
      </c>
      <c r="F209" s="1807" t="s">
        <v>2183</v>
      </c>
      <c r="G209" s="1807" t="s">
        <v>18</v>
      </c>
      <c r="H209" s="1807" t="s">
        <v>18</v>
      </c>
      <c r="I209" s="1807" t="s">
        <v>1015</v>
      </c>
    </row>
    <row r="210" spans="1:9" ht="11.25" customHeight="1">
      <c r="A210" s="1807" t="s">
        <v>2147</v>
      </c>
      <c r="B210" s="1807" t="s">
        <v>14</v>
      </c>
      <c r="C210" s="1807" t="s">
        <v>2544</v>
      </c>
      <c r="D210" s="1807" t="s">
        <v>2545</v>
      </c>
      <c r="E210" s="1807" t="s">
        <v>2546</v>
      </c>
      <c r="F210" s="1807" t="s">
        <v>2166</v>
      </c>
      <c r="G210" s="1807" t="s">
        <v>18</v>
      </c>
      <c r="H210" s="1807" t="s">
        <v>18</v>
      </c>
      <c r="I210" s="1807" t="s">
        <v>1015</v>
      </c>
    </row>
    <row r="211" spans="1:9" ht="11.25" customHeight="1">
      <c r="A211" s="1807" t="s">
        <v>2147</v>
      </c>
      <c r="B211" s="1807" t="s">
        <v>14</v>
      </c>
      <c r="C211" s="1807" t="s">
        <v>2547</v>
      </c>
      <c r="D211" s="1807" t="s">
        <v>2548</v>
      </c>
      <c r="E211" s="1807" t="s">
        <v>2549</v>
      </c>
      <c r="F211" s="1807" t="s">
        <v>2183</v>
      </c>
      <c r="G211" s="1807" t="s">
        <v>18</v>
      </c>
      <c r="H211" s="1807" t="s">
        <v>18</v>
      </c>
      <c r="I211" s="1807" t="s">
        <v>1015</v>
      </c>
    </row>
    <row r="212" spans="1:9" ht="11.25" customHeight="1">
      <c r="A212" s="1807" t="s">
        <v>2147</v>
      </c>
      <c r="B212" s="1807" t="s">
        <v>14</v>
      </c>
      <c r="C212" s="1807" t="s">
        <v>2496</v>
      </c>
      <c r="D212" s="1807" t="s">
        <v>2497</v>
      </c>
      <c r="E212" s="1807" t="s">
        <v>2498</v>
      </c>
      <c r="F212" s="1807" t="s">
        <v>2339</v>
      </c>
      <c r="G212" s="1807" t="s">
        <v>18</v>
      </c>
      <c r="H212" s="1807" t="s">
        <v>18</v>
      </c>
      <c r="I212" s="1807" t="s">
        <v>1015</v>
      </c>
    </row>
  </sheetData>
  <sheetProtection formatColumns="0" formatRows="0" insertRows="0" deleteColumns="0" deleteRows="0" sort="0" autoFilter="0"/>
  <pageMargins left="0.75" right="0.75" top="1" bottom="1" header="0.5" footer="0.5"/>
  <pageSetup orientation="portrait"/>
  <headerFooter>
    <oddHeader>&amp;L&amp;C&amp;R</oddHeader>
    <oddFooter>&amp;L&amp;C&amp;R</oddFooter>
    <evenHeader>&amp;L&amp;C&amp;R</evenHeader>
    <evenFooter>&amp;L&amp;C&amp;R</evenFooter>
  </headerFooter>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1:G319"/>
  <sheetViews>
    <sheetView showGridLines="0" workbookViewId="0"/>
  </sheetViews>
  <sheetFormatPr defaultRowHeight="11.25" customHeight="1"/>
  <cols>
    <col min="1" max="1" width="9.140625" style="1807"/>
  </cols>
  <sheetData>
    <row r="1" spans="1:7" ht="11.25" customHeight="1">
      <c r="A1" t="s">
        <v>2550</v>
      </c>
      <c r="B1" t="s">
        <v>2551</v>
      </c>
      <c r="C1" t="s">
        <v>2552</v>
      </c>
      <c r="D1" t="s">
        <v>2553</v>
      </c>
      <c r="E1" t="s">
        <v>2554</v>
      </c>
      <c r="F1" t="s">
        <v>2555</v>
      </c>
      <c r="G1" t="s">
        <v>2556</v>
      </c>
    </row>
    <row r="2" spans="1:7" ht="11.25" customHeight="1">
      <c r="A2" t="s">
        <v>14</v>
      </c>
      <c r="B2" t="s">
        <v>2557</v>
      </c>
      <c r="C2" t="s">
        <v>2558</v>
      </c>
      <c r="D2" t="s">
        <v>2557</v>
      </c>
      <c r="E2" t="s">
        <v>2558</v>
      </c>
      <c r="F2" t="s">
        <v>2559</v>
      </c>
      <c r="G2" t="s">
        <v>109</v>
      </c>
    </row>
    <row r="3" spans="1:7" ht="11.25" customHeight="1">
      <c r="A3" t="s">
        <v>14</v>
      </c>
      <c r="B3" t="s">
        <v>2560</v>
      </c>
      <c r="C3" t="s">
        <v>2561</v>
      </c>
      <c r="D3" t="s">
        <v>2560</v>
      </c>
      <c r="E3" t="s">
        <v>2561</v>
      </c>
      <c r="F3" t="s">
        <v>2562</v>
      </c>
      <c r="G3" t="s">
        <v>110</v>
      </c>
    </row>
    <row r="4" spans="1:7" ht="11.25" customHeight="1">
      <c r="A4" t="s">
        <v>14</v>
      </c>
      <c r="B4" t="s">
        <v>2560</v>
      </c>
      <c r="C4" t="s">
        <v>2561</v>
      </c>
      <c r="D4" t="s">
        <v>2563</v>
      </c>
      <c r="E4" t="s">
        <v>2564</v>
      </c>
      <c r="F4" t="s">
        <v>2565</v>
      </c>
      <c r="G4" t="s">
        <v>90</v>
      </c>
    </row>
    <row r="5" spans="1:7" ht="11.25" customHeight="1">
      <c r="A5" t="s">
        <v>14</v>
      </c>
      <c r="B5" t="s">
        <v>2560</v>
      </c>
      <c r="C5" t="s">
        <v>2561</v>
      </c>
      <c r="D5" t="s">
        <v>2566</v>
      </c>
      <c r="E5" t="s">
        <v>2567</v>
      </c>
      <c r="F5" t="s">
        <v>2565</v>
      </c>
      <c r="G5" t="s">
        <v>91</v>
      </c>
    </row>
    <row r="6" spans="1:7" ht="11.25" customHeight="1">
      <c r="A6" t="s">
        <v>14</v>
      </c>
      <c r="B6" t="s">
        <v>2560</v>
      </c>
      <c r="C6" t="s">
        <v>2561</v>
      </c>
      <c r="D6" t="s">
        <v>2568</v>
      </c>
      <c r="E6" t="s">
        <v>2569</v>
      </c>
      <c r="F6" t="s">
        <v>2565</v>
      </c>
      <c r="G6" t="s">
        <v>111</v>
      </c>
    </row>
    <row r="7" spans="1:7" ht="11.25" customHeight="1">
      <c r="A7" t="s">
        <v>14</v>
      </c>
      <c r="B7" t="s">
        <v>2560</v>
      </c>
      <c r="C7" t="s">
        <v>2561</v>
      </c>
      <c r="D7" t="s">
        <v>2570</v>
      </c>
      <c r="E7" t="s">
        <v>2571</v>
      </c>
      <c r="F7" t="s">
        <v>2565</v>
      </c>
      <c r="G7" t="s">
        <v>92</v>
      </c>
    </row>
    <row r="8" spans="1:7" ht="11.25" customHeight="1">
      <c r="A8" t="s">
        <v>14</v>
      </c>
      <c r="B8" t="s">
        <v>2560</v>
      </c>
      <c r="C8" t="s">
        <v>2561</v>
      </c>
      <c r="D8" t="s">
        <v>2572</v>
      </c>
      <c r="E8" t="s">
        <v>2573</v>
      </c>
      <c r="F8" t="s">
        <v>2565</v>
      </c>
      <c r="G8" t="s">
        <v>93</v>
      </c>
    </row>
    <row r="9" spans="1:7" ht="11.25" customHeight="1">
      <c r="A9" t="s">
        <v>14</v>
      </c>
      <c r="B9" t="s">
        <v>2560</v>
      </c>
      <c r="C9" t="s">
        <v>2561</v>
      </c>
      <c r="D9" t="s">
        <v>2574</v>
      </c>
      <c r="E9" t="s">
        <v>2575</v>
      </c>
      <c r="F9" t="s">
        <v>2565</v>
      </c>
      <c r="G9" t="s">
        <v>112</v>
      </c>
    </row>
    <row r="10" spans="1:7" ht="11.25" customHeight="1">
      <c r="A10" t="s">
        <v>14</v>
      </c>
      <c r="B10" t="s">
        <v>2560</v>
      </c>
      <c r="C10" t="s">
        <v>2561</v>
      </c>
      <c r="D10" t="s">
        <v>2576</v>
      </c>
      <c r="E10" t="s">
        <v>2577</v>
      </c>
      <c r="F10" t="s">
        <v>2565</v>
      </c>
      <c r="G10" t="s">
        <v>153</v>
      </c>
    </row>
    <row r="11" spans="1:7" ht="11.25" customHeight="1">
      <c r="A11" t="s">
        <v>14</v>
      </c>
      <c r="B11" t="s">
        <v>2560</v>
      </c>
      <c r="C11" t="s">
        <v>2561</v>
      </c>
      <c r="D11" t="s">
        <v>2578</v>
      </c>
      <c r="E11" t="s">
        <v>2579</v>
      </c>
      <c r="F11" t="s">
        <v>2565</v>
      </c>
      <c r="G11" t="s">
        <v>154</v>
      </c>
    </row>
    <row r="12" spans="1:7" ht="11.25" customHeight="1">
      <c r="A12" t="s">
        <v>14</v>
      </c>
      <c r="B12" t="s">
        <v>2560</v>
      </c>
      <c r="C12" t="s">
        <v>2561</v>
      </c>
      <c r="D12" t="s">
        <v>2580</v>
      </c>
      <c r="E12" t="s">
        <v>2581</v>
      </c>
      <c r="F12" t="s">
        <v>2565</v>
      </c>
      <c r="G12" t="s">
        <v>155</v>
      </c>
    </row>
    <row r="13" spans="1:7" ht="11.25" customHeight="1">
      <c r="A13" t="s">
        <v>14</v>
      </c>
      <c r="B13" t="s">
        <v>2560</v>
      </c>
      <c r="C13" t="s">
        <v>2561</v>
      </c>
      <c r="D13" t="s">
        <v>2582</v>
      </c>
      <c r="E13" t="s">
        <v>2583</v>
      </c>
      <c r="F13" t="s">
        <v>2565</v>
      </c>
      <c r="G13" t="s">
        <v>156</v>
      </c>
    </row>
    <row r="14" spans="1:7" ht="11.25" customHeight="1">
      <c r="A14" t="s">
        <v>14</v>
      </c>
      <c r="B14" t="s">
        <v>2560</v>
      </c>
      <c r="C14" t="s">
        <v>2561</v>
      </c>
      <c r="D14" t="s">
        <v>2584</v>
      </c>
      <c r="E14" t="s">
        <v>2585</v>
      </c>
      <c r="F14" t="s">
        <v>2565</v>
      </c>
      <c r="G14" t="s">
        <v>157</v>
      </c>
    </row>
    <row r="15" spans="1:7" ht="11.25" customHeight="1">
      <c r="A15" t="s">
        <v>14</v>
      </c>
      <c r="B15" t="s">
        <v>2560</v>
      </c>
      <c r="C15" t="s">
        <v>2561</v>
      </c>
      <c r="D15" t="s">
        <v>2586</v>
      </c>
      <c r="E15" t="s">
        <v>2587</v>
      </c>
      <c r="F15" t="s">
        <v>2565</v>
      </c>
      <c r="G15" t="s">
        <v>158</v>
      </c>
    </row>
    <row r="16" spans="1:7" ht="11.25" customHeight="1">
      <c r="A16" t="s">
        <v>14</v>
      </c>
      <c r="B16" t="s">
        <v>2560</v>
      </c>
      <c r="C16" t="s">
        <v>2561</v>
      </c>
      <c r="D16" t="s">
        <v>2588</v>
      </c>
      <c r="E16" t="s">
        <v>2589</v>
      </c>
      <c r="F16" t="s">
        <v>2565</v>
      </c>
      <c r="G16" t="s">
        <v>855</v>
      </c>
    </row>
    <row r="17" spans="1:7" ht="11.25" customHeight="1">
      <c r="A17" t="s">
        <v>14</v>
      </c>
      <c r="B17" t="s">
        <v>2560</v>
      </c>
      <c r="C17" t="s">
        <v>2561</v>
      </c>
      <c r="D17" t="s">
        <v>2590</v>
      </c>
      <c r="E17" t="s">
        <v>2591</v>
      </c>
      <c r="F17" t="s">
        <v>2565</v>
      </c>
      <c r="G17" t="s">
        <v>861</v>
      </c>
    </row>
    <row r="18" spans="1:7" ht="11.25" customHeight="1">
      <c r="A18" t="s">
        <v>14</v>
      </c>
      <c r="B18" t="s">
        <v>2560</v>
      </c>
      <c r="C18" t="s">
        <v>2561</v>
      </c>
      <c r="D18" t="s">
        <v>2592</v>
      </c>
      <c r="E18" t="s">
        <v>2593</v>
      </c>
      <c r="F18" t="s">
        <v>2565</v>
      </c>
      <c r="G18" t="s">
        <v>872</v>
      </c>
    </row>
    <row r="19" spans="1:7" ht="11.25" customHeight="1">
      <c r="A19" t="s">
        <v>14</v>
      </c>
      <c r="B19" t="s">
        <v>2560</v>
      </c>
      <c r="C19" t="s">
        <v>2561</v>
      </c>
      <c r="D19" t="s">
        <v>2594</v>
      </c>
      <c r="E19" t="s">
        <v>2595</v>
      </c>
      <c r="F19" t="s">
        <v>2565</v>
      </c>
      <c r="G19" t="s">
        <v>886</v>
      </c>
    </row>
    <row r="20" spans="1:7" ht="11.25" customHeight="1">
      <c r="A20" t="s">
        <v>14</v>
      </c>
      <c r="B20" t="s">
        <v>2560</v>
      </c>
      <c r="C20" t="s">
        <v>2561</v>
      </c>
      <c r="D20" t="s">
        <v>2596</v>
      </c>
      <c r="E20" t="s">
        <v>2597</v>
      </c>
      <c r="F20" t="s">
        <v>2565</v>
      </c>
      <c r="G20" t="s">
        <v>898</v>
      </c>
    </row>
    <row r="21" spans="1:7" ht="11.25" customHeight="1">
      <c r="A21" t="s">
        <v>14</v>
      </c>
      <c r="B21" t="s">
        <v>2560</v>
      </c>
      <c r="C21" t="s">
        <v>2561</v>
      </c>
      <c r="D21" t="s">
        <v>2598</v>
      </c>
      <c r="E21" t="s">
        <v>2599</v>
      </c>
      <c r="F21" t="s">
        <v>2565</v>
      </c>
      <c r="G21" t="s">
        <v>907</v>
      </c>
    </row>
    <row r="22" spans="1:7" ht="11.25" customHeight="1">
      <c r="A22" t="s">
        <v>14</v>
      </c>
      <c r="B22" t="s">
        <v>2560</v>
      </c>
      <c r="C22" t="s">
        <v>2561</v>
      </c>
      <c r="D22" t="s">
        <v>2600</v>
      </c>
      <c r="E22" t="s">
        <v>2601</v>
      </c>
      <c r="F22" t="s">
        <v>2565</v>
      </c>
      <c r="G22" t="s">
        <v>923</v>
      </c>
    </row>
    <row r="23" spans="1:7" ht="11.25" customHeight="1">
      <c r="A23" t="s">
        <v>14</v>
      </c>
      <c r="B23" t="s">
        <v>2560</v>
      </c>
      <c r="C23" t="s">
        <v>2561</v>
      </c>
      <c r="D23" t="s">
        <v>2602</v>
      </c>
      <c r="E23" t="s">
        <v>2603</v>
      </c>
      <c r="F23" t="s">
        <v>2565</v>
      </c>
      <c r="G23" t="s">
        <v>930</v>
      </c>
    </row>
    <row r="24" spans="1:7" ht="11.25" customHeight="1">
      <c r="A24" t="s">
        <v>14</v>
      </c>
      <c r="B24" t="s">
        <v>2560</v>
      </c>
      <c r="C24" t="s">
        <v>2561</v>
      </c>
      <c r="D24" t="s">
        <v>2604</v>
      </c>
      <c r="E24" t="s">
        <v>2605</v>
      </c>
      <c r="F24" t="s">
        <v>2565</v>
      </c>
      <c r="G24" t="s">
        <v>938</v>
      </c>
    </row>
    <row r="25" spans="1:7" ht="11.25" customHeight="1">
      <c r="A25" t="s">
        <v>14</v>
      </c>
      <c r="B25" t="s">
        <v>2560</v>
      </c>
      <c r="C25" t="s">
        <v>2561</v>
      </c>
      <c r="D25" t="s">
        <v>2606</v>
      </c>
      <c r="E25" t="s">
        <v>2607</v>
      </c>
      <c r="F25" t="s">
        <v>2608</v>
      </c>
      <c r="G25" t="s">
        <v>945</v>
      </c>
    </row>
    <row r="26" spans="1:7" ht="11.25" customHeight="1">
      <c r="A26" t="s">
        <v>14</v>
      </c>
      <c r="B26" t="s">
        <v>2560</v>
      </c>
      <c r="C26" t="s">
        <v>2561</v>
      </c>
      <c r="D26" t="s">
        <v>2609</v>
      </c>
      <c r="E26" t="s">
        <v>2610</v>
      </c>
      <c r="F26" t="s">
        <v>2608</v>
      </c>
      <c r="G26" t="s">
        <v>949</v>
      </c>
    </row>
    <row r="27" spans="1:7" ht="11.25" customHeight="1">
      <c r="A27" t="s">
        <v>14</v>
      </c>
      <c r="B27" t="s">
        <v>2560</v>
      </c>
      <c r="C27" t="s">
        <v>2561</v>
      </c>
      <c r="D27" t="s">
        <v>2611</v>
      </c>
      <c r="E27" t="s">
        <v>2612</v>
      </c>
      <c r="F27" t="s">
        <v>2608</v>
      </c>
      <c r="G27" t="s">
        <v>954</v>
      </c>
    </row>
    <row r="28" spans="1:7" ht="11.25" customHeight="1">
      <c r="A28" t="s">
        <v>14</v>
      </c>
      <c r="B28" t="s">
        <v>2613</v>
      </c>
      <c r="C28" t="s">
        <v>2614</v>
      </c>
      <c r="D28" t="s">
        <v>2615</v>
      </c>
      <c r="E28" t="s">
        <v>2616</v>
      </c>
      <c r="F28" t="s">
        <v>2565</v>
      </c>
      <c r="G28" t="s">
        <v>962</v>
      </c>
    </row>
    <row r="29" spans="1:7" ht="11.25" customHeight="1">
      <c r="A29" t="s">
        <v>14</v>
      </c>
      <c r="B29" t="s">
        <v>2613</v>
      </c>
      <c r="C29" t="s">
        <v>2614</v>
      </c>
      <c r="D29" t="s">
        <v>2617</v>
      </c>
      <c r="E29" t="s">
        <v>2618</v>
      </c>
      <c r="F29" t="s">
        <v>2565</v>
      </c>
      <c r="G29" t="s">
        <v>964</v>
      </c>
    </row>
    <row r="30" spans="1:7" ht="11.25" customHeight="1">
      <c r="A30" t="s">
        <v>14</v>
      </c>
      <c r="B30" t="s">
        <v>2613</v>
      </c>
      <c r="C30" t="s">
        <v>2614</v>
      </c>
      <c r="D30" t="s">
        <v>2619</v>
      </c>
      <c r="E30" t="s">
        <v>2620</v>
      </c>
      <c r="F30" t="s">
        <v>2565</v>
      </c>
      <c r="G30" t="s">
        <v>967</v>
      </c>
    </row>
    <row r="31" spans="1:7" ht="11.25" customHeight="1">
      <c r="A31" t="s">
        <v>14</v>
      </c>
      <c r="B31" t="s">
        <v>2613</v>
      </c>
      <c r="C31" t="s">
        <v>2614</v>
      </c>
      <c r="D31" t="s">
        <v>2613</v>
      </c>
      <c r="E31" t="s">
        <v>2614</v>
      </c>
      <c r="F31" t="s">
        <v>2562</v>
      </c>
      <c r="G31" t="s">
        <v>973</v>
      </c>
    </row>
    <row r="32" spans="1:7" ht="11.25" customHeight="1">
      <c r="A32" t="s">
        <v>14</v>
      </c>
      <c r="B32" t="s">
        <v>2613</v>
      </c>
      <c r="C32" t="s">
        <v>2614</v>
      </c>
      <c r="D32" t="s">
        <v>2621</v>
      </c>
      <c r="E32" t="s">
        <v>2622</v>
      </c>
      <c r="F32" t="s">
        <v>2565</v>
      </c>
      <c r="G32" t="s">
        <v>975</v>
      </c>
    </row>
    <row r="33" spans="1:7" ht="11.25" customHeight="1">
      <c r="A33" t="s">
        <v>14</v>
      </c>
      <c r="B33" t="s">
        <v>2613</v>
      </c>
      <c r="C33" t="s">
        <v>2614</v>
      </c>
      <c r="D33" t="s">
        <v>2623</v>
      </c>
      <c r="E33" t="s">
        <v>2624</v>
      </c>
      <c r="F33" t="s">
        <v>2565</v>
      </c>
      <c r="G33" t="s">
        <v>977</v>
      </c>
    </row>
    <row r="34" spans="1:7" ht="11.25" customHeight="1">
      <c r="A34" t="s">
        <v>14</v>
      </c>
      <c r="B34" t="s">
        <v>2613</v>
      </c>
      <c r="C34" t="s">
        <v>2614</v>
      </c>
      <c r="D34" t="s">
        <v>2625</v>
      </c>
      <c r="E34" t="s">
        <v>2626</v>
      </c>
      <c r="F34" t="s">
        <v>2565</v>
      </c>
      <c r="G34" t="s">
        <v>979</v>
      </c>
    </row>
    <row r="35" spans="1:7" ht="11.25" customHeight="1">
      <c r="A35" t="s">
        <v>14</v>
      </c>
      <c r="B35" t="s">
        <v>2613</v>
      </c>
      <c r="C35" t="s">
        <v>2614</v>
      </c>
      <c r="D35" t="s">
        <v>2627</v>
      </c>
      <c r="E35" t="s">
        <v>2628</v>
      </c>
      <c r="F35" t="s">
        <v>2565</v>
      </c>
      <c r="G35" t="s">
        <v>985</v>
      </c>
    </row>
    <row r="36" spans="1:7" ht="11.25" customHeight="1">
      <c r="A36" t="s">
        <v>14</v>
      </c>
      <c r="B36" t="s">
        <v>2613</v>
      </c>
      <c r="C36" t="s">
        <v>2614</v>
      </c>
      <c r="D36" t="s">
        <v>2629</v>
      </c>
      <c r="E36" t="s">
        <v>2630</v>
      </c>
      <c r="F36" t="s">
        <v>2565</v>
      </c>
      <c r="G36" t="s">
        <v>990</v>
      </c>
    </row>
    <row r="37" spans="1:7" ht="11.25" customHeight="1">
      <c r="A37" t="s">
        <v>14</v>
      </c>
      <c r="B37" t="s">
        <v>2613</v>
      </c>
      <c r="C37" t="s">
        <v>2614</v>
      </c>
      <c r="D37" t="s">
        <v>2631</v>
      </c>
      <c r="E37" t="s">
        <v>2632</v>
      </c>
      <c r="F37" t="s">
        <v>2565</v>
      </c>
      <c r="G37" t="s">
        <v>994</v>
      </c>
    </row>
    <row r="38" spans="1:7" ht="11.25" customHeight="1">
      <c r="A38" t="s">
        <v>14</v>
      </c>
      <c r="B38" t="s">
        <v>2613</v>
      </c>
      <c r="C38" t="s">
        <v>2614</v>
      </c>
      <c r="D38" t="s">
        <v>2633</v>
      </c>
      <c r="E38" t="s">
        <v>2634</v>
      </c>
      <c r="F38" t="s">
        <v>2608</v>
      </c>
      <c r="G38" t="s">
        <v>1002</v>
      </c>
    </row>
    <row r="39" spans="1:7" ht="11.25" customHeight="1">
      <c r="A39" t="s">
        <v>14</v>
      </c>
      <c r="B39" t="s">
        <v>2635</v>
      </c>
      <c r="C39" t="s">
        <v>2636</v>
      </c>
      <c r="D39" t="s">
        <v>2635</v>
      </c>
      <c r="E39" t="s">
        <v>2636</v>
      </c>
      <c r="F39" t="s">
        <v>2559</v>
      </c>
      <c r="G39" t="s">
        <v>1009</v>
      </c>
    </row>
    <row r="40" spans="1:7" ht="11.25" customHeight="1">
      <c r="A40" t="s">
        <v>14</v>
      </c>
      <c r="B40" t="s">
        <v>2637</v>
      </c>
      <c r="C40" t="s">
        <v>2638</v>
      </c>
      <c r="D40" t="s">
        <v>2639</v>
      </c>
      <c r="E40" t="s">
        <v>2640</v>
      </c>
      <c r="F40" t="s">
        <v>2565</v>
      </c>
      <c r="G40" t="s">
        <v>1016</v>
      </c>
    </row>
    <row r="41" spans="1:7" ht="11.25" customHeight="1">
      <c r="A41" t="s">
        <v>14</v>
      </c>
      <c r="B41" t="s">
        <v>2637</v>
      </c>
      <c r="C41" t="s">
        <v>2638</v>
      </c>
      <c r="D41" t="s">
        <v>2641</v>
      </c>
      <c r="E41" t="s">
        <v>2642</v>
      </c>
      <c r="F41" t="s">
        <v>2565</v>
      </c>
      <c r="G41" t="s">
        <v>1022</v>
      </c>
    </row>
    <row r="42" spans="1:7" ht="11.25" customHeight="1">
      <c r="A42" t="s">
        <v>14</v>
      </c>
      <c r="B42" t="s">
        <v>2637</v>
      </c>
      <c r="C42" t="s">
        <v>2638</v>
      </c>
      <c r="D42" t="s">
        <v>2637</v>
      </c>
      <c r="E42" t="s">
        <v>2638</v>
      </c>
      <c r="F42" t="s">
        <v>2562</v>
      </c>
      <c r="G42" t="s">
        <v>1027</v>
      </c>
    </row>
    <row r="43" spans="1:7" ht="11.25" customHeight="1">
      <c r="A43" t="s">
        <v>14</v>
      </c>
      <c r="B43" t="s">
        <v>2637</v>
      </c>
      <c r="C43" t="s">
        <v>2638</v>
      </c>
      <c r="D43" t="s">
        <v>2643</v>
      </c>
      <c r="E43" t="s">
        <v>2644</v>
      </c>
      <c r="F43" t="s">
        <v>2565</v>
      </c>
      <c r="G43" t="s">
        <v>1034</v>
      </c>
    </row>
    <row r="44" spans="1:7" ht="11.25" customHeight="1">
      <c r="A44" t="s">
        <v>14</v>
      </c>
      <c r="B44" t="s">
        <v>2637</v>
      </c>
      <c r="C44" t="s">
        <v>2638</v>
      </c>
      <c r="D44" t="s">
        <v>2645</v>
      </c>
      <c r="E44" t="s">
        <v>2646</v>
      </c>
      <c r="F44" t="s">
        <v>2565</v>
      </c>
      <c r="G44" t="s">
        <v>1043</v>
      </c>
    </row>
    <row r="45" spans="1:7" ht="11.25" customHeight="1">
      <c r="A45" t="s">
        <v>14</v>
      </c>
      <c r="B45" t="s">
        <v>2637</v>
      </c>
      <c r="C45" t="s">
        <v>2638</v>
      </c>
      <c r="D45" t="s">
        <v>2647</v>
      </c>
      <c r="E45" t="s">
        <v>2648</v>
      </c>
      <c r="F45" t="s">
        <v>2565</v>
      </c>
      <c r="G45" t="s">
        <v>1049</v>
      </c>
    </row>
    <row r="46" spans="1:7" ht="11.25" customHeight="1">
      <c r="A46" t="s">
        <v>14</v>
      </c>
      <c r="B46" t="s">
        <v>2637</v>
      </c>
      <c r="C46" t="s">
        <v>2638</v>
      </c>
      <c r="D46" t="s">
        <v>2649</v>
      </c>
      <c r="E46" t="s">
        <v>2650</v>
      </c>
      <c r="F46" t="s">
        <v>2565</v>
      </c>
      <c r="G46" t="s">
        <v>1053</v>
      </c>
    </row>
    <row r="47" spans="1:7" ht="11.25" customHeight="1">
      <c r="A47" t="s">
        <v>14</v>
      </c>
      <c r="B47" t="s">
        <v>2637</v>
      </c>
      <c r="C47" t="s">
        <v>2638</v>
      </c>
      <c r="D47" t="s">
        <v>2651</v>
      </c>
      <c r="E47" t="s">
        <v>2652</v>
      </c>
      <c r="F47" t="s">
        <v>2565</v>
      </c>
      <c r="G47" t="s">
        <v>1060</v>
      </c>
    </row>
    <row r="48" spans="1:7" ht="11.25" customHeight="1">
      <c r="A48" t="s">
        <v>14</v>
      </c>
      <c r="B48" t="s">
        <v>2637</v>
      </c>
      <c r="C48" t="s">
        <v>2638</v>
      </c>
      <c r="D48" t="s">
        <v>2653</v>
      </c>
      <c r="E48" t="s">
        <v>2654</v>
      </c>
      <c r="F48" t="s">
        <v>2565</v>
      </c>
      <c r="G48" t="s">
        <v>1066</v>
      </c>
    </row>
    <row r="49" spans="1:7" ht="11.25" customHeight="1">
      <c r="A49" t="s">
        <v>14</v>
      </c>
      <c r="B49" t="s">
        <v>2637</v>
      </c>
      <c r="C49" t="s">
        <v>2638</v>
      </c>
      <c r="D49" t="s">
        <v>2655</v>
      </c>
      <c r="E49" t="s">
        <v>2656</v>
      </c>
      <c r="F49" t="s">
        <v>2565</v>
      </c>
      <c r="G49" t="s">
        <v>1072</v>
      </c>
    </row>
    <row r="50" spans="1:7" ht="11.25" customHeight="1">
      <c r="A50" t="s">
        <v>14</v>
      </c>
      <c r="B50" t="s">
        <v>2637</v>
      </c>
      <c r="C50" t="s">
        <v>2638</v>
      </c>
      <c r="D50" t="s">
        <v>2657</v>
      </c>
      <c r="E50" t="s">
        <v>2658</v>
      </c>
      <c r="F50" t="s">
        <v>2565</v>
      </c>
      <c r="G50" t="s">
        <v>1077</v>
      </c>
    </row>
    <row r="51" spans="1:7" ht="11.25" customHeight="1">
      <c r="A51" t="s">
        <v>14</v>
      </c>
      <c r="B51" t="s">
        <v>2637</v>
      </c>
      <c r="C51" t="s">
        <v>2638</v>
      </c>
      <c r="D51" t="s">
        <v>2659</v>
      </c>
      <c r="E51" t="s">
        <v>2660</v>
      </c>
      <c r="F51" t="s">
        <v>2565</v>
      </c>
      <c r="G51" t="s">
        <v>1082</v>
      </c>
    </row>
    <row r="52" spans="1:7" ht="11.25" customHeight="1">
      <c r="A52" t="s">
        <v>14</v>
      </c>
      <c r="B52" t="s">
        <v>2637</v>
      </c>
      <c r="C52" t="s">
        <v>2638</v>
      </c>
      <c r="D52" t="s">
        <v>2661</v>
      </c>
      <c r="E52" t="s">
        <v>2662</v>
      </c>
      <c r="F52" t="s">
        <v>2608</v>
      </c>
      <c r="G52" t="s">
        <v>1086</v>
      </c>
    </row>
    <row r="53" spans="1:7" ht="11.25" customHeight="1">
      <c r="A53" t="s">
        <v>14</v>
      </c>
      <c r="B53" t="s">
        <v>2663</v>
      </c>
      <c r="C53" t="s">
        <v>2664</v>
      </c>
      <c r="D53" t="s">
        <v>2665</v>
      </c>
      <c r="E53" t="s">
        <v>2666</v>
      </c>
      <c r="F53" t="s">
        <v>2565</v>
      </c>
      <c r="G53" t="s">
        <v>1088</v>
      </c>
    </row>
    <row r="54" spans="1:7" ht="11.25" customHeight="1">
      <c r="A54" t="s">
        <v>14</v>
      </c>
      <c r="B54" t="s">
        <v>2663</v>
      </c>
      <c r="C54" t="s">
        <v>2664</v>
      </c>
      <c r="D54" t="s">
        <v>2663</v>
      </c>
      <c r="E54" t="s">
        <v>2664</v>
      </c>
      <c r="F54" t="s">
        <v>2562</v>
      </c>
      <c r="G54" t="s">
        <v>1091</v>
      </c>
    </row>
    <row r="55" spans="1:7" ht="11.25" customHeight="1">
      <c r="A55" t="s">
        <v>14</v>
      </c>
      <c r="B55" t="s">
        <v>2663</v>
      </c>
      <c r="C55" t="s">
        <v>2664</v>
      </c>
      <c r="D55" t="s">
        <v>2667</v>
      </c>
      <c r="E55" t="s">
        <v>2668</v>
      </c>
      <c r="F55" t="s">
        <v>2565</v>
      </c>
      <c r="G55" t="s">
        <v>1095</v>
      </c>
    </row>
    <row r="56" spans="1:7" ht="11.25" customHeight="1">
      <c r="A56" t="s">
        <v>14</v>
      </c>
      <c r="B56" t="s">
        <v>2663</v>
      </c>
      <c r="C56" t="s">
        <v>2664</v>
      </c>
      <c r="D56" t="s">
        <v>2669</v>
      </c>
      <c r="E56" t="s">
        <v>2670</v>
      </c>
      <c r="F56" t="s">
        <v>2565</v>
      </c>
      <c r="G56" t="s">
        <v>1098</v>
      </c>
    </row>
    <row r="57" spans="1:7" ht="11.25" customHeight="1">
      <c r="A57" t="s">
        <v>14</v>
      </c>
      <c r="B57" t="s">
        <v>2663</v>
      </c>
      <c r="C57" t="s">
        <v>2664</v>
      </c>
      <c r="D57" t="s">
        <v>2671</v>
      </c>
      <c r="E57" t="s">
        <v>2672</v>
      </c>
      <c r="F57" t="s">
        <v>2565</v>
      </c>
      <c r="G57" t="s">
        <v>1101</v>
      </c>
    </row>
    <row r="58" spans="1:7" ht="11.25" customHeight="1">
      <c r="A58" t="s">
        <v>14</v>
      </c>
      <c r="B58" t="s">
        <v>2663</v>
      </c>
      <c r="C58" t="s">
        <v>2664</v>
      </c>
      <c r="D58" t="s">
        <v>2673</v>
      </c>
      <c r="E58" t="s">
        <v>2674</v>
      </c>
      <c r="F58" t="s">
        <v>2565</v>
      </c>
      <c r="G58" t="s">
        <v>1104</v>
      </c>
    </row>
    <row r="59" spans="1:7" ht="11.25" customHeight="1">
      <c r="A59" t="s">
        <v>14</v>
      </c>
      <c r="B59" t="s">
        <v>2663</v>
      </c>
      <c r="C59" t="s">
        <v>2664</v>
      </c>
      <c r="D59" t="s">
        <v>2675</v>
      </c>
      <c r="E59" t="s">
        <v>2676</v>
      </c>
      <c r="F59" t="s">
        <v>2565</v>
      </c>
      <c r="G59" t="s">
        <v>1108</v>
      </c>
    </row>
    <row r="60" spans="1:7" ht="11.25" customHeight="1">
      <c r="A60" t="s">
        <v>14</v>
      </c>
      <c r="B60" t="s">
        <v>2663</v>
      </c>
      <c r="C60" t="s">
        <v>2664</v>
      </c>
      <c r="D60" t="s">
        <v>2677</v>
      </c>
      <c r="E60" t="s">
        <v>2678</v>
      </c>
      <c r="F60" t="s">
        <v>2608</v>
      </c>
      <c r="G60" t="s">
        <v>1111</v>
      </c>
    </row>
    <row r="61" spans="1:7" ht="11.25" customHeight="1">
      <c r="A61" t="s">
        <v>14</v>
      </c>
      <c r="B61" t="s">
        <v>2663</v>
      </c>
      <c r="C61" t="s">
        <v>2664</v>
      </c>
      <c r="D61" t="s">
        <v>2679</v>
      </c>
      <c r="E61" t="s">
        <v>2680</v>
      </c>
      <c r="F61" t="s">
        <v>2565</v>
      </c>
      <c r="G61" t="s">
        <v>2681</v>
      </c>
    </row>
    <row r="62" spans="1:7" ht="11.25" customHeight="1">
      <c r="A62" t="s">
        <v>14</v>
      </c>
      <c r="B62" t="s">
        <v>2663</v>
      </c>
      <c r="C62" t="s">
        <v>2664</v>
      </c>
      <c r="D62" t="s">
        <v>2682</v>
      </c>
      <c r="E62" t="s">
        <v>2683</v>
      </c>
      <c r="F62" t="s">
        <v>2565</v>
      </c>
      <c r="G62" t="s">
        <v>2684</v>
      </c>
    </row>
    <row r="63" spans="1:7" ht="11.25" customHeight="1">
      <c r="A63" t="s">
        <v>14</v>
      </c>
      <c r="B63" t="s">
        <v>2663</v>
      </c>
      <c r="C63" t="s">
        <v>2664</v>
      </c>
      <c r="D63" t="s">
        <v>2685</v>
      </c>
      <c r="E63" t="s">
        <v>2686</v>
      </c>
      <c r="F63" t="s">
        <v>2565</v>
      </c>
      <c r="G63" t="s">
        <v>2687</v>
      </c>
    </row>
    <row r="64" spans="1:7" ht="11.25" customHeight="1">
      <c r="A64" t="s">
        <v>14</v>
      </c>
      <c r="B64" t="s">
        <v>2663</v>
      </c>
      <c r="C64" t="s">
        <v>2664</v>
      </c>
      <c r="D64" t="s">
        <v>2688</v>
      </c>
      <c r="E64" t="s">
        <v>2689</v>
      </c>
      <c r="F64" t="s">
        <v>2565</v>
      </c>
      <c r="G64" t="s">
        <v>2690</v>
      </c>
    </row>
    <row r="65" spans="1:7" ht="11.25" customHeight="1">
      <c r="A65" t="s">
        <v>14</v>
      </c>
      <c r="B65" t="s">
        <v>2663</v>
      </c>
      <c r="C65" t="s">
        <v>2664</v>
      </c>
      <c r="D65" t="s">
        <v>2691</v>
      </c>
      <c r="E65" t="s">
        <v>2692</v>
      </c>
      <c r="F65" t="s">
        <v>2565</v>
      </c>
      <c r="G65" t="s">
        <v>2693</v>
      </c>
    </row>
    <row r="66" spans="1:7" ht="11.25" customHeight="1">
      <c r="A66" t="s">
        <v>14</v>
      </c>
      <c r="B66" t="s">
        <v>2663</v>
      </c>
      <c r="C66" t="s">
        <v>2664</v>
      </c>
      <c r="D66" t="s">
        <v>2694</v>
      </c>
      <c r="E66" t="s">
        <v>2695</v>
      </c>
      <c r="F66" t="s">
        <v>2565</v>
      </c>
      <c r="G66" t="s">
        <v>2696</v>
      </c>
    </row>
    <row r="67" spans="1:7" ht="11.25" customHeight="1">
      <c r="A67" t="s">
        <v>14</v>
      </c>
      <c r="B67" t="s">
        <v>2663</v>
      </c>
      <c r="C67" t="s">
        <v>2664</v>
      </c>
      <c r="D67" t="s">
        <v>2697</v>
      </c>
      <c r="E67" t="s">
        <v>2698</v>
      </c>
      <c r="F67" t="s">
        <v>2608</v>
      </c>
      <c r="G67" t="s">
        <v>1328</v>
      </c>
    </row>
    <row r="68" spans="1:7" ht="11.25" customHeight="1">
      <c r="A68" t="s">
        <v>14</v>
      </c>
      <c r="B68" t="s">
        <v>2699</v>
      </c>
      <c r="C68" t="s">
        <v>2700</v>
      </c>
      <c r="D68" t="s">
        <v>2699</v>
      </c>
      <c r="E68" t="s">
        <v>2700</v>
      </c>
      <c r="F68" t="s">
        <v>2559</v>
      </c>
      <c r="G68" t="s">
        <v>2701</v>
      </c>
    </row>
    <row r="69" spans="1:7" ht="11.25" customHeight="1">
      <c r="A69" t="s">
        <v>14</v>
      </c>
      <c r="B69" t="s">
        <v>2702</v>
      </c>
      <c r="C69" t="s">
        <v>2703</v>
      </c>
      <c r="D69" t="s">
        <v>2704</v>
      </c>
      <c r="E69" t="s">
        <v>2705</v>
      </c>
      <c r="F69" t="s">
        <v>2565</v>
      </c>
      <c r="G69" t="s">
        <v>1565</v>
      </c>
    </row>
    <row r="70" spans="1:7" ht="11.25" customHeight="1">
      <c r="A70" t="s">
        <v>14</v>
      </c>
      <c r="B70" t="s">
        <v>2702</v>
      </c>
      <c r="C70" t="s">
        <v>2703</v>
      </c>
      <c r="D70" t="s">
        <v>2706</v>
      </c>
      <c r="E70" t="s">
        <v>2707</v>
      </c>
      <c r="F70" t="s">
        <v>2565</v>
      </c>
      <c r="G70" t="s">
        <v>2708</v>
      </c>
    </row>
    <row r="71" spans="1:7" ht="11.25" customHeight="1">
      <c r="A71" t="s">
        <v>14</v>
      </c>
      <c r="B71" t="s">
        <v>2702</v>
      </c>
      <c r="C71" t="s">
        <v>2703</v>
      </c>
      <c r="D71" t="s">
        <v>2709</v>
      </c>
      <c r="E71" t="s">
        <v>2710</v>
      </c>
      <c r="F71" t="s">
        <v>2565</v>
      </c>
      <c r="G71" t="s">
        <v>2711</v>
      </c>
    </row>
    <row r="72" spans="1:7" ht="11.25" customHeight="1">
      <c r="A72" t="s">
        <v>14</v>
      </c>
      <c r="B72" t="s">
        <v>2702</v>
      </c>
      <c r="C72" t="s">
        <v>2703</v>
      </c>
      <c r="D72" t="s">
        <v>2712</v>
      </c>
      <c r="E72" t="s">
        <v>2713</v>
      </c>
      <c r="F72" t="s">
        <v>2565</v>
      </c>
      <c r="G72" t="s">
        <v>2714</v>
      </c>
    </row>
    <row r="73" spans="1:7" ht="11.25" customHeight="1">
      <c r="A73" t="s">
        <v>14</v>
      </c>
      <c r="B73" t="s">
        <v>2702</v>
      </c>
      <c r="C73" t="s">
        <v>2703</v>
      </c>
      <c r="D73" t="s">
        <v>2702</v>
      </c>
      <c r="E73" t="s">
        <v>2703</v>
      </c>
      <c r="F73" t="s">
        <v>2562</v>
      </c>
      <c r="G73" t="s">
        <v>2715</v>
      </c>
    </row>
    <row r="74" spans="1:7" ht="11.25" customHeight="1">
      <c r="A74" t="s">
        <v>14</v>
      </c>
      <c r="B74" t="s">
        <v>2702</v>
      </c>
      <c r="C74" t="s">
        <v>2703</v>
      </c>
      <c r="D74" t="s">
        <v>2716</v>
      </c>
      <c r="E74" t="s">
        <v>2717</v>
      </c>
      <c r="F74" t="s">
        <v>2565</v>
      </c>
      <c r="G74" t="s">
        <v>2718</v>
      </c>
    </row>
    <row r="75" spans="1:7" ht="11.25" customHeight="1">
      <c r="A75" t="s">
        <v>14</v>
      </c>
      <c r="B75" t="s">
        <v>2702</v>
      </c>
      <c r="C75" t="s">
        <v>2703</v>
      </c>
      <c r="D75" t="s">
        <v>2719</v>
      </c>
      <c r="E75" t="s">
        <v>2720</v>
      </c>
      <c r="F75" t="s">
        <v>2565</v>
      </c>
      <c r="G75" t="s">
        <v>2721</v>
      </c>
    </row>
    <row r="76" spans="1:7" ht="11.25" customHeight="1">
      <c r="A76" t="s">
        <v>14</v>
      </c>
      <c r="B76" t="s">
        <v>2702</v>
      </c>
      <c r="C76" t="s">
        <v>2703</v>
      </c>
      <c r="D76" t="s">
        <v>2722</v>
      </c>
      <c r="E76" t="s">
        <v>2723</v>
      </c>
      <c r="F76" t="s">
        <v>2565</v>
      </c>
      <c r="G76" t="s">
        <v>2724</v>
      </c>
    </row>
    <row r="77" spans="1:7" ht="11.25" customHeight="1">
      <c r="A77" t="s">
        <v>14</v>
      </c>
      <c r="B77" t="s">
        <v>2702</v>
      </c>
      <c r="C77" t="s">
        <v>2703</v>
      </c>
      <c r="D77" t="s">
        <v>2725</v>
      </c>
      <c r="E77" t="s">
        <v>2726</v>
      </c>
      <c r="F77" t="s">
        <v>2565</v>
      </c>
      <c r="G77" t="s">
        <v>2727</v>
      </c>
    </row>
    <row r="78" spans="1:7" ht="11.25" customHeight="1">
      <c r="A78" t="s">
        <v>14</v>
      </c>
      <c r="B78" t="s">
        <v>2702</v>
      </c>
      <c r="C78" t="s">
        <v>2703</v>
      </c>
      <c r="D78" t="s">
        <v>2728</v>
      </c>
      <c r="E78" t="s">
        <v>2729</v>
      </c>
      <c r="F78" t="s">
        <v>2565</v>
      </c>
      <c r="G78" t="s">
        <v>2730</v>
      </c>
    </row>
    <row r="79" spans="1:7" ht="11.25" customHeight="1">
      <c r="A79" t="s">
        <v>14</v>
      </c>
      <c r="B79" t="s">
        <v>2702</v>
      </c>
      <c r="C79" t="s">
        <v>2703</v>
      </c>
      <c r="D79" t="s">
        <v>2731</v>
      </c>
      <c r="E79" t="s">
        <v>2732</v>
      </c>
      <c r="F79" t="s">
        <v>2565</v>
      </c>
      <c r="G79" t="s">
        <v>2733</v>
      </c>
    </row>
    <row r="80" spans="1:7" ht="11.25" customHeight="1">
      <c r="A80" t="s">
        <v>14</v>
      </c>
      <c r="B80" t="s">
        <v>2702</v>
      </c>
      <c r="C80" t="s">
        <v>2703</v>
      </c>
      <c r="D80" t="s">
        <v>2734</v>
      </c>
      <c r="E80" t="s">
        <v>2735</v>
      </c>
      <c r="F80" t="s">
        <v>2565</v>
      </c>
      <c r="G80" t="s">
        <v>2736</v>
      </c>
    </row>
    <row r="81" spans="1:7" ht="11.25" customHeight="1">
      <c r="A81" t="s">
        <v>14</v>
      </c>
      <c r="B81" t="s">
        <v>2702</v>
      </c>
      <c r="C81" t="s">
        <v>2703</v>
      </c>
      <c r="D81" t="s">
        <v>2737</v>
      </c>
      <c r="E81" t="s">
        <v>2738</v>
      </c>
      <c r="F81" t="s">
        <v>2565</v>
      </c>
      <c r="G81" t="s">
        <v>2739</v>
      </c>
    </row>
    <row r="82" spans="1:7" ht="11.25" customHeight="1">
      <c r="A82" t="s">
        <v>14</v>
      </c>
      <c r="B82" t="s">
        <v>2702</v>
      </c>
      <c r="C82" t="s">
        <v>2703</v>
      </c>
      <c r="D82" t="s">
        <v>2740</v>
      </c>
      <c r="E82" t="s">
        <v>2741</v>
      </c>
      <c r="F82" t="s">
        <v>2742</v>
      </c>
      <c r="G82" t="s">
        <v>2743</v>
      </c>
    </row>
    <row r="83" spans="1:7" ht="11.25" customHeight="1">
      <c r="A83" t="s">
        <v>14</v>
      </c>
      <c r="B83" t="s">
        <v>2744</v>
      </c>
      <c r="C83" t="s">
        <v>2745</v>
      </c>
      <c r="D83" t="s">
        <v>2744</v>
      </c>
      <c r="E83" t="s">
        <v>2745</v>
      </c>
      <c r="F83" t="s">
        <v>2559</v>
      </c>
      <c r="G83" t="s">
        <v>2746</v>
      </c>
    </row>
    <row r="84" spans="1:7" ht="11.25" customHeight="1">
      <c r="A84" t="s">
        <v>14</v>
      </c>
      <c r="B84" t="s">
        <v>2747</v>
      </c>
      <c r="C84" t="s">
        <v>2748</v>
      </c>
      <c r="D84" t="s">
        <v>2749</v>
      </c>
      <c r="E84" t="s">
        <v>2750</v>
      </c>
      <c r="F84" t="s">
        <v>2565</v>
      </c>
      <c r="G84" t="s">
        <v>2751</v>
      </c>
    </row>
    <row r="85" spans="1:7" ht="11.25" customHeight="1">
      <c r="A85" t="s">
        <v>14</v>
      </c>
      <c r="B85" t="s">
        <v>2747</v>
      </c>
      <c r="C85" t="s">
        <v>2748</v>
      </c>
      <c r="D85" t="s">
        <v>2752</v>
      </c>
      <c r="E85" t="s">
        <v>2753</v>
      </c>
      <c r="F85" t="s">
        <v>2565</v>
      </c>
      <c r="G85" t="s">
        <v>2754</v>
      </c>
    </row>
    <row r="86" spans="1:7" ht="11.25" customHeight="1">
      <c r="A86" t="s">
        <v>14</v>
      </c>
      <c r="B86" t="s">
        <v>2747</v>
      </c>
      <c r="C86" t="s">
        <v>2748</v>
      </c>
      <c r="D86" t="s">
        <v>2755</v>
      </c>
      <c r="E86" t="s">
        <v>2756</v>
      </c>
      <c r="F86" t="s">
        <v>2565</v>
      </c>
      <c r="G86" t="s">
        <v>2757</v>
      </c>
    </row>
    <row r="87" spans="1:7" ht="11.25" customHeight="1">
      <c r="A87" t="s">
        <v>14</v>
      </c>
      <c r="B87" t="s">
        <v>2747</v>
      </c>
      <c r="C87" t="s">
        <v>2748</v>
      </c>
      <c r="D87" t="s">
        <v>2758</v>
      </c>
      <c r="E87" t="s">
        <v>2759</v>
      </c>
      <c r="F87" t="s">
        <v>2565</v>
      </c>
      <c r="G87" t="s">
        <v>2760</v>
      </c>
    </row>
    <row r="88" spans="1:7" ht="11.25" customHeight="1">
      <c r="A88" t="s">
        <v>14</v>
      </c>
      <c r="B88" t="s">
        <v>2747</v>
      </c>
      <c r="C88" t="s">
        <v>2748</v>
      </c>
      <c r="D88" t="s">
        <v>2761</v>
      </c>
      <c r="E88" t="s">
        <v>2762</v>
      </c>
      <c r="F88" t="s">
        <v>2565</v>
      </c>
      <c r="G88" t="s">
        <v>2763</v>
      </c>
    </row>
    <row r="89" spans="1:7" ht="11.25" customHeight="1">
      <c r="A89" t="s">
        <v>14</v>
      </c>
      <c r="B89" t="s">
        <v>2747</v>
      </c>
      <c r="C89" t="s">
        <v>2748</v>
      </c>
      <c r="D89" t="s">
        <v>2747</v>
      </c>
      <c r="E89" t="s">
        <v>2748</v>
      </c>
      <c r="F89" t="s">
        <v>2562</v>
      </c>
      <c r="G89" t="s">
        <v>2764</v>
      </c>
    </row>
    <row r="90" spans="1:7" ht="11.25" customHeight="1">
      <c r="A90" t="s">
        <v>14</v>
      </c>
      <c r="B90" t="s">
        <v>2747</v>
      </c>
      <c r="C90" t="s">
        <v>2748</v>
      </c>
      <c r="D90" t="s">
        <v>2765</v>
      </c>
      <c r="E90" t="s">
        <v>2766</v>
      </c>
      <c r="F90" t="s">
        <v>2565</v>
      </c>
      <c r="G90" t="s">
        <v>2767</v>
      </c>
    </row>
    <row r="91" spans="1:7" ht="11.25" customHeight="1">
      <c r="A91" t="s">
        <v>14</v>
      </c>
      <c r="B91" t="s">
        <v>2747</v>
      </c>
      <c r="C91" t="s">
        <v>2748</v>
      </c>
      <c r="D91" t="s">
        <v>2768</v>
      </c>
      <c r="E91" t="s">
        <v>2769</v>
      </c>
      <c r="F91" t="s">
        <v>2565</v>
      </c>
      <c r="G91" t="s">
        <v>2770</v>
      </c>
    </row>
    <row r="92" spans="1:7" ht="11.25" customHeight="1">
      <c r="A92" t="s">
        <v>14</v>
      </c>
      <c r="B92" t="s">
        <v>2747</v>
      </c>
      <c r="C92" t="s">
        <v>2748</v>
      </c>
      <c r="D92" t="s">
        <v>2771</v>
      </c>
      <c r="E92" t="s">
        <v>2772</v>
      </c>
      <c r="F92" t="s">
        <v>2565</v>
      </c>
      <c r="G92" t="s">
        <v>2773</v>
      </c>
    </row>
    <row r="93" spans="1:7" ht="11.25" customHeight="1">
      <c r="A93" t="s">
        <v>14</v>
      </c>
      <c r="B93" t="s">
        <v>2747</v>
      </c>
      <c r="C93" t="s">
        <v>2748</v>
      </c>
      <c r="D93" t="s">
        <v>2675</v>
      </c>
      <c r="E93" t="s">
        <v>2774</v>
      </c>
      <c r="F93" t="s">
        <v>2565</v>
      </c>
      <c r="G93" t="s">
        <v>2775</v>
      </c>
    </row>
    <row r="94" spans="1:7" ht="11.25" customHeight="1">
      <c r="A94" t="s">
        <v>14</v>
      </c>
      <c r="B94" t="s">
        <v>2747</v>
      </c>
      <c r="C94" t="s">
        <v>2748</v>
      </c>
      <c r="D94" t="s">
        <v>2776</v>
      </c>
      <c r="E94" t="s">
        <v>2777</v>
      </c>
      <c r="F94" t="s">
        <v>2565</v>
      </c>
      <c r="G94" t="s">
        <v>2778</v>
      </c>
    </row>
    <row r="95" spans="1:7" ht="11.25" customHeight="1">
      <c r="A95" t="s">
        <v>14</v>
      </c>
      <c r="B95" t="s">
        <v>2747</v>
      </c>
      <c r="C95" t="s">
        <v>2748</v>
      </c>
      <c r="D95" t="s">
        <v>2779</v>
      </c>
      <c r="E95" t="s">
        <v>2780</v>
      </c>
      <c r="F95" t="s">
        <v>2565</v>
      </c>
      <c r="G95" t="s">
        <v>2781</v>
      </c>
    </row>
    <row r="96" spans="1:7" ht="11.25" customHeight="1">
      <c r="A96" t="s">
        <v>14</v>
      </c>
      <c r="B96" t="s">
        <v>2747</v>
      </c>
      <c r="C96" t="s">
        <v>2748</v>
      </c>
      <c r="D96" t="s">
        <v>2782</v>
      </c>
      <c r="E96" t="s">
        <v>2783</v>
      </c>
      <c r="F96" t="s">
        <v>2565</v>
      </c>
      <c r="G96" t="s">
        <v>2784</v>
      </c>
    </row>
    <row r="97" spans="1:7" ht="11.25" customHeight="1">
      <c r="A97" t="s">
        <v>14</v>
      </c>
      <c r="B97" t="s">
        <v>2747</v>
      </c>
      <c r="C97" t="s">
        <v>2748</v>
      </c>
      <c r="D97" t="s">
        <v>2785</v>
      </c>
      <c r="E97" t="s">
        <v>2786</v>
      </c>
      <c r="F97" t="s">
        <v>2565</v>
      </c>
      <c r="G97" t="s">
        <v>2787</v>
      </c>
    </row>
    <row r="98" spans="1:7" ht="11.25" customHeight="1">
      <c r="A98" t="s">
        <v>14</v>
      </c>
      <c r="B98" t="s">
        <v>2747</v>
      </c>
      <c r="C98" t="s">
        <v>2748</v>
      </c>
      <c r="D98" t="s">
        <v>2788</v>
      </c>
      <c r="E98" t="s">
        <v>2789</v>
      </c>
      <c r="F98" t="s">
        <v>2565</v>
      </c>
      <c r="G98" t="s">
        <v>2790</v>
      </c>
    </row>
    <row r="99" spans="1:7" ht="11.25" customHeight="1">
      <c r="A99" t="s">
        <v>14</v>
      </c>
      <c r="B99" t="s">
        <v>2747</v>
      </c>
      <c r="C99" t="s">
        <v>2748</v>
      </c>
      <c r="D99" t="s">
        <v>2791</v>
      </c>
      <c r="E99" t="s">
        <v>2792</v>
      </c>
      <c r="F99" t="s">
        <v>2608</v>
      </c>
      <c r="G99" t="s">
        <v>2793</v>
      </c>
    </row>
    <row r="100" spans="1:7" ht="11.25" customHeight="1">
      <c r="A100" t="s">
        <v>14</v>
      </c>
      <c r="B100" t="s">
        <v>2794</v>
      </c>
      <c r="C100" t="s">
        <v>2795</v>
      </c>
      <c r="D100" t="s">
        <v>2796</v>
      </c>
      <c r="E100" t="s">
        <v>2797</v>
      </c>
      <c r="F100" t="s">
        <v>2565</v>
      </c>
      <c r="G100" t="s">
        <v>2798</v>
      </c>
    </row>
    <row r="101" spans="1:7" ht="11.25" customHeight="1">
      <c r="A101" t="s">
        <v>14</v>
      </c>
      <c r="B101" t="s">
        <v>2794</v>
      </c>
      <c r="C101" t="s">
        <v>2795</v>
      </c>
      <c r="D101" t="s">
        <v>2799</v>
      </c>
      <c r="E101" t="s">
        <v>2800</v>
      </c>
      <c r="F101" t="s">
        <v>2565</v>
      </c>
      <c r="G101" t="s">
        <v>2801</v>
      </c>
    </row>
    <row r="102" spans="1:7" ht="11.25" customHeight="1">
      <c r="A102" t="s">
        <v>14</v>
      </c>
      <c r="B102" t="s">
        <v>2794</v>
      </c>
      <c r="C102" t="s">
        <v>2795</v>
      </c>
      <c r="D102" t="s">
        <v>2802</v>
      </c>
      <c r="E102" t="s">
        <v>2803</v>
      </c>
      <c r="F102" t="s">
        <v>2565</v>
      </c>
      <c r="G102" t="s">
        <v>2804</v>
      </c>
    </row>
    <row r="103" spans="1:7" ht="11.25" customHeight="1">
      <c r="A103" t="s">
        <v>14</v>
      </c>
      <c r="B103" t="s">
        <v>2794</v>
      </c>
      <c r="C103" t="s">
        <v>2795</v>
      </c>
      <c r="D103" t="s">
        <v>2805</v>
      </c>
      <c r="E103" t="s">
        <v>2806</v>
      </c>
      <c r="F103" t="s">
        <v>2565</v>
      </c>
      <c r="G103" t="s">
        <v>2807</v>
      </c>
    </row>
    <row r="104" spans="1:7" ht="11.25" customHeight="1">
      <c r="A104" t="s">
        <v>14</v>
      </c>
      <c r="B104" t="s">
        <v>2794</v>
      </c>
      <c r="C104" t="s">
        <v>2795</v>
      </c>
      <c r="D104" t="s">
        <v>2808</v>
      </c>
      <c r="E104" t="s">
        <v>2809</v>
      </c>
      <c r="F104" t="s">
        <v>2565</v>
      </c>
      <c r="G104" t="s">
        <v>2810</v>
      </c>
    </row>
    <row r="105" spans="1:7" ht="11.25" customHeight="1">
      <c r="A105" t="s">
        <v>14</v>
      </c>
      <c r="B105" t="s">
        <v>2794</v>
      </c>
      <c r="C105" t="s">
        <v>2795</v>
      </c>
      <c r="D105" t="s">
        <v>2811</v>
      </c>
      <c r="E105" t="s">
        <v>2812</v>
      </c>
      <c r="F105" t="s">
        <v>2565</v>
      </c>
      <c r="G105" t="s">
        <v>2813</v>
      </c>
    </row>
    <row r="106" spans="1:7" ht="11.25" customHeight="1">
      <c r="A106" t="s">
        <v>14</v>
      </c>
      <c r="B106" t="s">
        <v>2794</v>
      </c>
      <c r="C106" t="s">
        <v>2795</v>
      </c>
      <c r="D106" t="s">
        <v>2814</v>
      </c>
      <c r="E106" t="s">
        <v>2815</v>
      </c>
      <c r="F106" t="s">
        <v>2565</v>
      </c>
      <c r="G106" t="s">
        <v>2816</v>
      </c>
    </row>
    <row r="107" spans="1:7" ht="11.25" customHeight="1">
      <c r="A107" t="s">
        <v>14</v>
      </c>
      <c r="B107" t="s">
        <v>2794</v>
      </c>
      <c r="C107" t="s">
        <v>2795</v>
      </c>
      <c r="D107" t="s">
        <v>2817</v>
      </c>
      <c r="E107" t="s">
        <v>2818</v>
      </c>
      <c r="F107" t="s">
        <v>2565</v>
      </c>
      <c r="G107" t="s">
        <v>2819</v>
      </c>
    </row>
    <row r="108" spans="1:7" ht="11.25" customHeight="1">
      <c r="A108" t="s">
        <v>14</v>
      </c>
      <c r="B108" t="s">
        <v>2794</v>
      </c>
      <c r="C108" t="s">
        <v>2795</v>
      </c>
      <c r="D108" t="s">
        <v>2820</v>
      </c>
      <c r="E108" t="s">
        <v>2821</v>
      </c>
      <c r="F108" t="s">
        <v>2565</v>
      </c>
      <c r="G108" t="s">
        <v>2822</v>
      </c>
    </row>
    <row r="109" spans="1:7" ht="11.25" customHeight="1">
      <c r="A109" t="s">
        <v>14</v>
      </c>
      <c r="B109" t="s">
        <v>2794</v>
      </c>
      <c r="C109" t="s">
        <v>2795</v>
      </c>
      <c r="D109" t="s">
        <v>2794</v>
      </c>
      <c r="E109" t="s">
        <v>2795</v>
      </c>
      <c r="F109" t="s">
        <v>2562</v>
      </c>
      <c r="G109" t="s">
        <v>2823</v>
      </c>
    </row>
    <row r="110" spans="1:7" ht="11.25" customHeight="1">
      <c r="A110" t="s">
        <v>14</v>
      </c>
      <c r="B110" t="s">
        <v>2794</v>
      </c>
      <c r="C110" t="s">
        <v>2795</v>
      </c>
      <c r="D110" t="s">
        <v>2824</v>
      </c>
      <c r="E110" t="s">
        <v>2825</v>
      </c>
      <c r="F110" t="s">
        <v>2565</v>
      </c>
      <c r="G110" t="s">
        <v>2826</v>
      </c>
    </row>
    <row r="111" spans="1:7" ht="11.25" customHeight="1">
      <c r="A111" t="s">
        <v>14</v>
      </c>
      <c r="B111" t="s">
        <v>2794</v>
      </c>
      <c r="C111" t="s">
        <v>2795</v>
      </c>
      <c r="D111" t="s">
        <v>2827</v>
      </c>
      <c r="E111" t="s">
        <v>2828</v>
      </c>
      <c r="F111" t="s">
        <v>2565</v>
      </c>
      <c r="G111" t="s">
        <v>2829</v>
      </c>
    </row>
    <row r="112" spans="1:7" ht="11.25" customHeight="1">
      <c r="A112" t="s">
        <v>14</v>
      </c>
      <c r="B112" t="s">
        <v>2794</v>
      </c>
      <c r="C112" t="s">
        <v>2795</v>
      </c>
      <c r="D112" t="s">
        <v>2830</v>
      </c>
      <c r="E112" t="s">
        <v>2831</v>
      </c>
      <c r="F112" t="s">
        <v>2565</v>
      </c>
      <c r="G112" t="s">
        <v>2832</v>
      </c>
    </row>
    <row r="113" spans="1:7" ht="11.25" customHeight="1">
      <c r="A113" t="s">
        <v>14</v>
      </c>
      <c r="B113" t="s">
        <v>2794</v>
      </c>
      <c r="C113" t="s">
        <v>2795</v>
      </c>
      <c r="D113" t="s">
        <v>2833</v>
      </c>
      <c r="E113" t="s">
        <v>2834</v>
      </c>
      <c r="F113" t="s">
        <v>2565</v>
      </c>
      <c r="G113" t="s">
        <v>2835</v>
      </c>
    </row>
    <row r="114" spans="1:7" ht="11.25" customHeight="1">
      <c r="A114" t="s">
        <v>14</v>
      </c>
      <c r="B114" t="s">
        <v>2794</v>
      </c>
      <c r="C114" t="s">
        <v>2795</v>
      </c>
      <c r="D114" t="s">
        <v>2836</v>
      </c>
      <c r="E114" t="s">
        <v>2837</v>
      </c>
      <c r="F114" t="s">
        <v>2565</v>
      </c>
      <c r="G114" t="s">
        <v>2838</v>
      </c>
    </row>
    <row r="115" spans="1:7" ht="11.25" customHeight="1">
      <c r="A115" t="s">
        <v>14</v>
      </c>
      <c r="B115" t="s">
        <v>2794</v>
      </c>
      <c r="C115" t="s">
        <v>2795</v>
      </c>
      <c r="D115" t="s">
        <v>2839</v>
      </c>
      <c r="E115" t="s">
        <v>2840</v>
      </c>
      <c r="F115" t="s">
        <v>2565</v>
      </c>
      <c r="G115" t="s">
        <v>2841</v>
      </c>
    </row>
    <row r="116" spans="1:7" ht="11.25" customHeight="1">
      <c r="A116" t="s">
        <v>14</v>
      </c>
      <c r="B116" t="s">
        <v>2794</v>
      </c>
      <c r="C116" t="s">
        <v>2795</v>
      </c>
      <c r="D116" t="s">
        <v>2842</v>
      </c>
      <c r="E116" t="s">
        <v>2843</v>
      </c>
      <c r="F116" t="s">
        <v>2565</v>
      </c>
      <c r="G116" t="s">
        <v>2844</v>
      </c>
    </row>
    <row r="117" spans="1:7" ht="11.25" customHeight="1">
      <c r="A117" t="s">
        <v>14</v>
      </c>
      <c r="B117" t="s">
        <v>2794</v>
      </c>
      <c r="C117" t="s">
        <v>2795</v>
      </c>
      <c r="D117" t="s">
        <v>2845</v>
      </c>
      <c r="E117" t="s">
        <v>2846</v>
      </c>
      <c r="F117" t="s">
        <v>2565</v>
      </c>
      <c r="G117" t="s">
        <v>2847</v>
      </c>
    </row>
    <row r="118" spans="1:7" ht="11.25" customHeight="1">
      <c r="A118" t="s">
        <v>14</v>
      </c>
      <c r="B118" t="s">
        <v>2794</v>
      </c>
      <c r="C118" t="s">
        <v>2795</v>
      </c>
      <c r="D118" t="s">
        <v>2848</v>
      </c>
      <c r="E118" t="s">
        <v>2849</v>
      </c>
      <c r="F118" t="s">
        <v>2565</v>
      </c>
      <c r="G118" t="s">
        <v>2850</v>
      </c>
    </row>
    <row r="119" spans="1:7" ht="11.25" customHeight="1">
      <c r="A119" t="s">
        <v>14</v>
      </c>
      <c r="B119" t="s">
        <v>2794</v>
      </c>
      <c r="C119" t="s">
        <v>2795</v>
      </c>
      <c r="D119" t="s">
        <v>2851</v>
      </c>
      <c r="E119" t="s">
        <v>2852</v>
      </c>
      <c r="F119" t="s">
        <v>2565</v>
      </c>
      <c r="G119" t="s">
        <v>2853</v>
      </c>
    </row>
    <row r="120" spans="1:7" ht="11.25" customHeight="1">
      <c r="A120" t="s">
        <v>14</v>
      </c>
      <c r="B120" t="s">
        <v>2794</v>
      </c>
      <c r="C120" t="s">
        <v>2795</v>
      </c>
      <c r="D120" t="s">
        <v>2854</v>
      </c>
      <c r="E120" t="s">
        <v>2855</v>
      </c>
      <c r="F120" t="s">
        <v>2565</v>
      </c>
      <c r="G120" t="s">
        <v>2856</v>
      </c>
    </row>
    <row r="121" spans="1:7" ht="11.25" customHeight="1">
      <c r="A121" t="s">
        <v>14</v>
      </c>
      <c r="B121" t="s">
        <v>2794</v>
      </c>
      <c r="C121" t="s">
        <v>2795</v>
      </c>
      <c r="D121" t="s">
        <v>2857</v>
      </c>
      <c r="E121" t="s">
        <v>2858</v>
      </c>
      <c r="F121" t="s">
        <v>2565</v>
      </c>
      <c r="G121" t="s">
        <v>2859</v>
      </c>
    </row>
    <row r="122" spans="1:7" ht="11.25" customHeight="1">
      <c r="A122" t="s">
        <v>14</v>
      </c>
      <c r="B122" t="s">
        <v>2794</v>
      </c>
      <c r="C122" t="s">
        <v>2795</v>
      </c>
      <c r="D122" t="s">
        <v>2860</v>
      </c>
      <c r="E122" t="s">
        <v>2861</v>
      </c>
      <c r="F122" t="s">
        <v>2565</v>
      </c>
      <c r="G122" t="s">
        <v>2862</v>
      </c>
    </row>
    <row r="123" spans="1:7" ht="11.25" customHeight="1">
      <c r="A123" t="s">
        <v>14</v>
      </c>
      <c r="B123" t="s">
        <v>2794</v>
      </c>
      <c r="C123" t="s">
        <v>2795</v>
      </c>
      <c r="D123" t="s">
        <v>2863</v>
      </c>
      <c r="E123" t="s">
        <v>2864</v>
      </c>
      <c r="F123" t="s">
        <v>2742</v>
      </c>
      <c r="G123" t="s">
        <v>2865</v>
      </c>
    </row>
    <row r="124" spans="1:7" ht="11.25" customHeight="1">
      <c r="A124" t="s">
        <v>14</v>
      </c>
      <c r="B124" t="s">
        <v>2866</v>
      </c>
      <c r="C124" t="s">
        <v>2867</v>
      </c>
      <c r="D124" t="s">
        <v>2868</v>
      </c>
      <c r="E124" t="s">
        <v>2869</v>
      </c>
      <c r="F124" t="s">
        <v>2565</v>
      </c>
      <c r="G124" t="s">
        <v>2870</v>
      </c>
    </row>
    <row r="125" spans="1:7" ht="11.25" customHeight="1">
      <c r="A125" t="s">
        <v>14</v>
      </c>
      <c r="B125" t="s">
        <v>2866</v>
      </c>
      <c r="C125" t="s">
        <v>2867</v>
      </c>
      <c r="D125" t="s">
        <v>2871</v>
      </c>
      <c r="E125" t="s">
        <v>2872</v>
      </c>
      <c r="F125" t="s">
        <v>2565</v>
      </c>
      <c r="G125" t="s">
        <v>2873</v>
      </c>
    </row>
    <row r="126" spans="1:7" ht="11.25" customHeight="1">
      <c r="A126" t="s">
        <v>14</v>
      </c>
      <c r="B126" t="s">
        <v>2866</v>
      </c>
      <c r="C126" t="s">
        <v>2867</v>
      </c>
      <c r="D126" t="s">
        <v>2874</v>
      </c>
      <c r="E126" t="s">
        <v>2875</v>
      </c>
      <c r="F126" t="s">
        <v>2565</v>
      </c>
      <c r="G126" t="s">
        <v>2876</v>
      </c>
    </row>
    <row r="127" spans="1:7" ht="11.25" customHeight="1">
      <c r="A127" t="s">
        <v>14</v>
      </c>
      <c r="B127" t="s">
        <v>2866</v>
      </c>
      <c r="C127" t="s">
        <v>2867</v>
      </c>
      <c r="D127" t="s">
        <v>2877</v>
      </c>
      <c r="E127" t="s">
        <v>2878</v>
      </c>
      <c r="F127" t="s">
        <v>2565</v>
      </c>
      <c r="G127" t="s">
        <v>2879</v>
      </c>
    </row>
    <row r="128" spans="1:7" ht="11.25" customHeight="1">
      <c r="A128" t="s">
        <v>14</v>
      </c>
      <c r="B128" t="s">
        <v>2866</v>
      </c>
      <c r="C128" t="s">
        <v>2867</v>
      </c>
      <c r="D128" t="s">
        <v>2866</v>
      </c>
      <c r="E128" t="s">
        <v>2867</v>
      </c>
      <c r="F128" t="s">
        <v>2562</v>
      </c>
      <c r="G128" t="s">
        <v>2880</v>
      </c>
    </row>
    <row r="129" spans="1:7" ht="11.25" customHeight="1">
      <c r="A129" t="s">
        <v>14</v>
      </c>
      <c r="B129" t="s">
        <v>2866</v>
      </c>
      <c r="C129" t="s">
        <v>2867</v>
      </c>
      <c r="D129" t="s">
        <v>2881</v>
      </c>
      <c r="E129" t="s">
        <v>2882</v>
      </c>
      <c r="F129" t="s">
        <v>2565</v>
      </c>
      <c r="G129" t="s">
        <v>2883</v>
      </c>
    </row>
    <row r="130" spans="1:7" ht="11.25" customHeight="1">
      <c r="A130" t="s">
        <v>14</v>
      </c>
      <c r="B130" t="s">
        <v>2866</v>
      </c>
      <c r="C130" t="s">
        <v>2867</v>
      </c>
      <c r="D130" t="s">
        <v>2884</v>
      </c>
      <c r="E130" t="s">
        <v>2885</v>
      </c>
      <c r="F130" t="s">
        <v>2565</v>
      </c>
      <c r="G130" t="s">
        <v>2886</v>
      </c>
    </row>
    <row r="131" spans="1:7" ht="11.25" customHeight="1">
      <c r="A131" t="s">
        <v>14</v>
      </c>
      <c r="B131" t="s">
        <v>2866</v>
      </c>
      <c r="C131" t="s">
        <v>2867</v>
      </c>
      <c r="D131" t="s">
        <v>2887</v>
      </c>
      <c r="E131" t="s">
        <v>2888</v>
      </c>
      <c r="F131" t="s">
        <v>2565</v>
      </c>
      <c r="G131" t="s">
        <v>2889</v>
      </c>
    </row>
    <row r="132" spans="1:7" ht="11.25" customHeight="1">
      <c r="A132" t="s">
        <v>14</v>
      </c>
      <c r="B132" t="s">
        <v>2866</v>
      </c>
      <c r="C132" t="s">
        <v>2867</v>
      </c>
      <c r="D132" t="s">
        <v>2890</v>
      </c>
      <c r="E132" t="s">
        <v>2891</v>
      </c>
      <c r="F132" t="s">
        <v>2565</v>
      </c>
      <c r="G132" t="s">
        <v>2892</v>
      </c>
    </row>
    <row r="133" spans="1:7" ht="11.25" customHeight="1">
      <c r="A133" t="s">
        <v>14</v>
      </c>
      <c r="B133" t="s">
        <v>2866</v>
      </c>
      <c r="C133" t="s">
        <v>2867</v>
      </c>
      <c r="D133" t="s">
        <v>2893</v>
      </c>
      <c r="E133" t="s">
        <v>2894</v>
      </c>
      <c r="F133" t="s">
        <v>2565</v>
      </c>
      <c r="G133" t="s">
        <v>2895</v>
      </c>
    </row>
    <row r="134" spans="1:7" ht="11.25" customHeight="1">
      <c r="A134" t="s">
        <v>14</v>
      </c>
      <c r="B134" t="s">
        <v>2866</v>
      </c>
      <c r="C134" t="s">
        <v>2867</v>
      </c>
      <c r="D134" t="s">
        <v>2896</v>
      </c>
      <c r="E134" t="s">
        <v>2897</v>
      </c>
      <c r="F134" t="s">
        <v>2565</v>
      </c>
      <c r="G134" t="s">
        <v>2898</v>
      </c>
    </row>
    <row r="135" spans="1:7" ht="11.25" customHeight="1">
      <c r="A135" t="s">
        <v>14</v>
      </c>
      <c r="B135" t="s">
        <v>2899</v>
      </c>
      <c r="C135" t="s">
        <v>2900</v>
      </c>
      <c r="D135" t="s">
        <v>2901</v>
      </c>
      <c r="E135" t="s">
        <v>2902</v>
      </c>
      <c r="F135" t="s">
        <v>2565</v>
      </c>
      <c r="G135" t="s">
        <v>2903</v>
      </c>
    </row>
    <row r="136" spans="1:7" ht="11.25" customHeight="1">
      <c r="A136" t="s">
        <v>14</v>
      </c>
      <c r="B136" t="s">
        <v>2899</v>
      </c>
      <c r="C136" t="s">
        <v>2900</v>
      </c>
      <c r="D136" t="s">
        <v>2904</v>
      </c>
      <c r="E136" t="s">
        <v>2905</v>
      </c>
      <c r="F136" t="s">
        <v>2565</v>
      </c>
      <c r="G136" t="s">
        <v>2906</v>
      </c>
    </row>
    <row r="137" spans="1:7" ht="11.25" customHeight="1">
      <c r="A137" t="s">
        <v>14</v>
      </c>
      <c r="B137" t="s">
        <v>2899</v>
      </c>
      <c r="C137" t="s">
        <v>2900</v>
      </c>
      <c r="D137" t="s">
        <v>2907</v>
      </c>
      <c r="E137" t="s">
        <v>2908</v>
      </c>
      <c r="F137" t="s">
        <v>2565</v>
      </c>
      <c r="G137" t="s">
        <v>2909</v>
      </c>
    </row>
    <row r="138" spans="1:7" ht="11.25" customHeight="1">
      <c r="A138" t="s">
        <v>14</v>
      </c>
      <c r="B138" t="s">
        <v>2899</v>
      </c>
      <c r="C138" t="s">
        <v>2900</v>
      </c>
      <c r="D138" t="s">
        <v>2910</v>
      </c>
      <c r="E138" t="s">
        <v>2911</v>
      </c>
      <c r="F138" t="s">
        <v>2565</v>
      </c>
      <c r="G138" t="s">
        <v>2912</v>
      </c>
    </row>
    <row r="139" spans="1:7" ht="11.25" customHeight="1">
      <c r="A139" t="s">
        <v>14</v>
      </c>
      <c r="B139" t="s">
        <v>2899</v>
      </c>
      <c r="C139" t="s">
        <v>2900</v>
      </c>
      <c r="D139" t="s">
        <v>2913</v>
      </c>
      <c r="E139" t="s">
        <v>2914</v>
      </c>
      <c r="F139" t="s">
        <v>2565</v>
      </c>
      <c r="G139" t="s">
        <v>2915</v>
      </c>
    </row>
    <row r="140" spans="1:7" ht="11.25" customHeight="1">
      <c r="A140" t="s">
        <v>14</v>
      </c>
      <c r="B140" t="s">
        <v>2899</v>
      </c>
      <c r="C140" t="s">
        <v>2900</v>
      </c>
      <c r="D140" t="s">
        <v>2916</v>
      </c>
      <c r="E140" t="s">
        <v>2917</v>
      </c>
      <c r="F140" t="s">
        <v>2565</v>
      </c>
      <c r="G140" t="s">
        <v>2918</v>
      </c>
    </row>
    <row r="141" spans="1:7" ht="11.25" customHeight="1">
      <c r="A141" t="s">
        <v>14</v>
      </c>
      <c r="B141" t="s">
        <v>2899</v>
      </c>
      <c r="C141" t="s">
        <v>2900</v>
      </c>
      <c r="D141" t="s">
        <v>2919</v>
      </c>
      <c r="E141" t="s">
        <v>2920</v>
      </c>
      <c r="F141" t="s">
        <v>2565</v>
      </c>
      <c r="G141" t="s">
        <v>2921</v>
      </c>
    </row>
    <row r="142" spans="1:7" ht="11.25" customHeight="1">
      <c r="A142" t="s">
        <v>14</v>
      </c>
      <c r="B142" t="s">
        <v>2899</v>
      </c>
      <c r="C142" t="s">
        <v>2900</v>
      </c>
      <c r="D142" t="s">
        <v>2899</v>
      </c>
      <c r="E142" t="s">
        <v>2900</v>
      </c>
      <c r="F142" t="s">
        <v>2562</v>
      </c>
      <c r="G142" t="s">
        <v>2922</v>
      </c>
    </row>
    <row r="143" spans="1:7" ht="11.25" customHeight="1">
      <c r="A143" t="s">
        <v>14</v>
      </c>
      <c r="B143" t="s">
        <v>2899</v>
      </c>
      <c r="C143" t="s">
        <v>2900</v>
      </c>
      <c r="D143" t="s">
        <v>2923</v>
      </c>
      <c r="E143" t="s">
        <v>2924</v>
      </c>
      <c r="F143" t="s">
        <v>2565</v>
      </c>
      <c r="G143" t="s">
        <v>2925</v>
      </c>
    </row>
    <row r="144" spans="1:7" ht="11.25" customHeight="1">
      <c r="A144" t="s">
        <v>14</v>
      </c>
      <c r="B144" t="s">
        <v>2899</v>
      </c>
      <c r="C144" t="s">
        <v>2900</v>
      </c>
      <c r="D144" t="s">
        <v>2926</v>
      </c>
      <c r="E144" t="s">
        <v>2927</v>
      </c>
      <c r="F144" t="s">
        <v>2565</v>
      </c>
      <c r="G144" t="s">
        <v>2928</v>
      </c>
    </row>
    <row r="145" spans="1:7" ht="11.25" customHeight="1">
      <c r="A145" t="s">
        <v>14</v>
      </c>
      <c r="B145" t="s">
        <v>2899</v>
      </c>
      <c r="C145" t="s">
        <v>2900</v>
      </c>
      <c r="D145" t="s">
        <v>2929</v>
      </c>
      <c r="E145" t="s">
        <v>2930</v>
      </c>
      <c r="F145" t="s">
        <v>2565</v>
      </c>
      <c r="G145" t="s">
        <v>2931</v>
      </c>
    </row>
    <row r="146" spans="1:7" ht="11.25" customHeight="1">
      <c r="A146" t="s">
        <v>14</v>
      </c>
      <c r="B146" t="s">
        <v>2899</v>
      </c>
      <c r="C146" t="s">
        <v>2900</v>
      </c>
      <c r="D146" t="s">
        <v>2932</v>
      </c>
      <c r="E146" t="s">
        <v>2933</v>
      </c>
      <c r="F146" t="s">
        <v>2565</v>
      </c>
      <c r="G146" t="s">
        <v>2934</v>
      </c>
    </row>
    <row r="147" spans="1:7" ht="11.25" customHeight="1">
      <c r="A147" t="s">
        <v>14</v>
      </c>
      <c r="B147" t="s">
        <v>2899</v>
      </c>
      <c r="C147" t="s">
        <v>2900</v>
      </c>
      <c r="D147" t="s">
        <v>2935</v>
      </c>
      <c r="E147" t="s">
        <v>2936</v>
      </c>
      <c r="F147" t="s">
        <v>2565</v>
      </c>
      <c r="G147" t="s">
        <v>2937</v>
      </c>
    </row>
    <row r="148" spans="1:7" ht="11.25" customHeight="1">
      <c r="A148" t="s">
        <v>14</v>
      </c>
      <c r="B148" t="s">
        <v>2899</v>
      </c>
      <c r="C148" t="s">
        <v>2900</v>
      </c>
      <c r="D148" t="s">
        <v>2596</v>
      </c>
      <c r="E148" t="s">
        <v>2938</v>
      </c>
      <c r="F148" t="s">
        <v>2565</v>
      </c>
      <c r="G148" t="s">
        <v>2939</v>
      </c>
    </row>
    <row r="149" spans="1:7" ht="11.25" customHeight="1">
      <c r="A149" t="s">
        <v>14</v>
      </c>
      <c r="B149" t="s">
        <v>2899</v>
      </c>
      <c r="C149" t="s">
        <v>2900</v>
      </c>
      <c r="D149" t="s">
        <v>2940</v>
      </c>
      <c r="E149" t="s">
        <v>2941</v>
      </c>
      <c r="F149" t="s">
        <v>2565</v>
      </c>
      <c r="G149" t="s">
        <v>2942</v>
      </c>
    </row>
    <row r="150" spans="1:7" ht="11.25" customHeight="1">
      <c r="A150" t="s">
        <v>14</v>
      </c>
      <c r="B150" t="s">
        <v>2899</v>
      </c>
      <c r="C150" t="s">
        <v>2900</v>
      </c>
      <c r="D150" t="s">
        <v>2943</v>
      </c>
      <c r="E150" t="s">
        <v>2944</v>
      </c>
      <c r="F150" t="s">
        <v>2608</v>
      </c>
      <c r="G150" t="s">
        <v>2945</v>
      </c>
    </row>
    <row r="151" spans="1:7" ht="11.25" customHeight="1">
      <c r="A151" t="s">
        <v>14</v>
      </c>
      <c r="B151" t="s">
        <v>2946</v>
      </c>
      <c r="C151" t="s">
        <v>2947</v>
      </c>
      <c r="D151" t="s">
        <v>2948</v>
      </c>
      <c r="E151" t="s">
        <v>2949</v>
      </c>
      <c r="F151" t="s">
        <v>2565</v>
      </c>
      <c r="G151" t="s">
        <v>2950</v>
      </c>
    </row>
    <row r="152" spans="1:7" ht="11.25" customHeight="1">
      <c r="A152" t="s">
        <v>14</v>
      </c>
      <c r="B152" t="s">
        <v>2946</v>
      </c>
      <c r="C152" t="s">
        <v>2947</v>
      </c>
      <c r="D152" t="s">
        <v>2951</v>
      </c>
      <c r="E152" t="s">
        <v>2952</v>
      </c>
      <c r="F152" t="s">
        <v>2565</v>
      </c>
      <c r="G152" t="s">
        <v>2953</v>
      </c>
    </row>
    <row r="153" spans="1:7" ht="11.25" customHeight="1">
      <c r="A153" t="s">
        <v>14</v>
      </c>
      <c r="B153" t="s">
        <v>2946</v>
      </c>
      <c r="C153" t="s">
        <v>2947</v>
      </c>
      <c r="D153" t="s">
        <v>2954</v>
      </c>
      <c r="E153" t="s">
        <v>2955</v>
      </c>
      <c r="F153" t="s">
        <v>2565</v>
      </c>
      <c r="G153" t="s">
        <v>2956</v>
      </c>
    </row>
    <row r="154" spans="1:7" ht="11.25" customHeight="1">
      <c r="A154" t="s">
        <v>14</v>
      </c>
      <c r="B154" t="s">
        <v>2946</v>
      </c>
      <c r="C154" t="s">
        <v>2947</v>
      </c>
      <c r="D154" t="s">
        <v>2957</v>
      </c>
      <c r="E154" t="s">
        <v>2958</v>
      </c>
      <c r="F154" t="s">
        <v>2565</v>
      </c>
      <c r="G154" t="s">
        <v>2959</v>
      </c>
    </row>
    <row r="155" spans="1:7" ht="11.25" customHeight="1">
      <c r="A155" t="s">
        <v>14</v>
      </c>
      <c r="B155" t="s">
        <v>2946</v>
      </c>
      <c r="C155" t="s">
        <v>2947</v>
      </c>
      <c r="D155" t="s">
        <v>2946</v>
      </c>
      <c r="E155" t="s">
        <v>2947</v>
      </c>
      <c r="F155" t="s">
        <v>2562</v>
      </c>
      <c r="G155" t="s">
        <v>2960</v>
      </c>
    </row>
    <row r="156" spans="1:7" ht="11.25" customHeight="1">
      <c r="A156" t="s">
        <v>14</v>
      </c>
      <c r="B156" t="s">
        <v>2946</v>
      </c>
      <c r="C156" t="s">
        <v>2947</v>
      </c>
      <c r="D156" t="s">
        <v>2961</v>
      </c>
      <c r="E156" t="s">
        <v>2962</v>
      </c>
      <c r="F156" t="s">
        <v>2565</v>
      </c>
      <c r="G156" t="s">
        <v>2963</v>
      </c>
    </row>
    <row r="157" spans="1:7" ht="11.25" customHeight="1">
      <c r="A157" t="s">
        <v>14</v>
      </c>
      <c r="B157" t="s">
        <v>2946</v>
      </c>
      <c r="C157" t="s">
        <v>2947</v>
      </c>
      <c r="D157" t="s">
        <v>2964</v>
      </c>
      <c r="E157" t="s">
        <v>2965</v>
      </c>
      <c r="F157" t="s">
        <v>2565</v>
      </c>
      <c r="G157" t="s">
        <v>2966</v>
      </c>
    </row>
    <row r="158" spans="1:7" ht="11.25" customHeight="1">
      <c r="A158" t="s">
        <v>14</v>
      </c>
      <c r="B158" t="s">
        <v>2946</v>
      </c>
      <c r="C158" t="s">
        <v>2947</v>
      </c>
      <c r="D158" t="s">
        <v>2967</v>
      </c>
      <c r="E158" t="s">
        <v>2968</v>
      </c>
      <c r="F158" t="s">
        <v>2565</v>
      </c>
      <c r="G158" t="s">
        <v>2969</v>
      </c>
    </row>
    <row r="159" spans="1:7" ht="11.25" customHeight="1">
      <c r="A159" t="s">
        <v>14</v>
      </c>
      <c r="B159" t="s">
        <v>2946</v>
      </c>
      <c r="C159" t="s">
        <v>2947</v>
      </c>
      <c r="D159" t="s">
        <v>2970</v>
      </c>
      <c r="E159" t="s">
        <v>2971</v>
      </c>
      <c r="F159" t="s">
        <v>2608</v>
      </c>
      <c r="G159" t="s">
        <v>2972</v>
      </c>
    </row>
    <row r="160" spans="1:7" ht="11.25" customHeight="1">
      <c r="A160" t="s">
        <v>14</v>
      </c>
      <c r="B160" t="s">
        <v>2973</v>
      </c>
      <c r="C160" t="s">
        <v>2974</v>
      </c>
      <c r="D160" t="s">
        <v>2975</v>
      </c>
      <c r="E160" t="s">
        <v>2976</v>
      </c>
      <c r="F160" t="s">
        <v>2565</v>
      </c>
      <c r="G160" t="s">
        <v>2977</v>
      </c>
    </row>
    <row r="161" spans="1:7" ht="11.25" customHeight="1">
      <c r="A161" t="s">
        <v>14</v>
      </c>
      <c r="B161" t="s">
        <v>2973</v>
      </c>
      <c r="C161" t="s">
        <v>2974</v>
      </c>
      <c r="D161" t="s">
        <v>2978</v>
      </c>
      <c r="E161" t="s">
        <v>2979</v>
      </c>
      <c r="F161" t="s">
        <v>2565</v>
      </c>
      <c r="G161" t="s">
        <v>2980</v>
      </c>
    </row>
    <row r="162" spans="1:7" ht="11.25" customHeight="1">
      <c r="A162" t="s">
        <v>14</v>
      </c>
      <c r="B162" t="s">
        <v>2973</v>
      </c>
      <c r="C162" t="s">
        <v>2974</v>
      </c>
      <c r="D162" t="s">
        <v>2981</v>
      </c>
      <c r="E162" t="s">
        <v>2982</v>
      </c>
      <c r="F162" t="s">
        <v>2565</v>
      </c>
      <c r="G162" t="s">
        <v>2983</v>
      </c>
    </row>
    <row r="163" spans="1:7" ht="11.25" customHeight="1">
      <c r="A163" t="s">
        <v>14</v>
      </c>
      <c r="B163" t="s">
        <v>2973</v>
      </c>
      <c r="C163" t="s">
        <v>2974</v>
      </c>
      <c r="D163" t="s">
        <v>2984</v>
      </c>
      <c r="E163" t="s">
        <v>2985</v>
      </c>
      <c r="F163" t="s">
        <v>2565</v>
      </c>
      <c r="G163" t="s">
        <v>2986</v>
      </c>
    </row>
    <row r="164" spans="1:7" ht="11.25" customHeight="1">
      <c r="A164" t="s">
        <v>14</v>
      </c>
      <c r="B164" t="s">
        <v>2973</v>
      </c>
      <c r="C164" t="s">
        <v>2974</v>
      </c>
      <c r="D164" t="s">
        <v>2987</v>
      </c>
      <c r="E164" t="s">
        <v>2988</v>
      </c>
      <c r="F164" t="s">
        <v>2565</v>
      </c>
      <c r="G164" t="s">
        <v>2989</v>
      </c>
    </row>
    <row r="165" spans="1:7" ht="11.25" customHeight="1">
      <c r="A165" t="s">
        <v>14</v>
      </c>
      <c r="B165" t="s">
        <v>2973</v>
      </c>
      <c r="C165" t="s">
        <v>2974</v>
      </c>
      <c r="D165" t="s">
        <v>2990</v>
      </c>
      <c r="E165" t="s">
        <v>2991</v>
      </c>
      <c r="F165" t="s">
        <v>2565</v>
      </c>
      <c r="G165" t="s">
        <v>2992</v>
      </c>
    </row>
    <row r="166" spans="1:7" ht="11.25" customHeight="1">
      <c r="A166" t="s">
        <v>14</v>
      </c>
      <c r="B166" t="s">
        <v>2973</v>
      </c>
      <c r="C166" t="s">
        <v>2974</v>
      </c>
      <c r="D166" t="s">
        <v>2993</v>
      </c>
      <c r="E166" t="s">
        <v>2994</v>
      </c>
      <c r="F166" t="s">
        <v>2565</v>
      </c>
      <c r="G166" t="s">
        <v>2995</v>
      </c>
    </row>
    <row r="167" spans="1:7" ht="11.25" customHeight="1">
      <c r="A167" t="s">
        <v>14</v>
      </c>
      <c r="B167" t="s">
        <v>2973</v>
      </c>
      <c r="C167" t="s">
        <v>2974</v>
      </c>
      <c r="D167" t="s">
        <v>2996</v>
      </c>
      <c r="E167" t="s">
        <v>2997</v>
      </c>
      <c r="F167" t="s">
        <v>2565</v>
      </c>
      <c r="G167" t="s">
        <v>2998</v>
      </c>
    </row>
    <row r="168" spans="1:7" ht="11.25" customHeight="1">
      <c r="A168" t="s">
        <v>14</v>
      </c>
      <c r="B168" t="s">
        <v>2973</v>
      </c>
      <c r="C168" t="s">
        <v>2974</v>
      </c>
      <c r="D168" t="s">
        <v>2999</v>
      </c>
      <c r="E168" t="s">
        <v>3000</v>
      </c>
      <c r="F168" t="s">
        <v>2565</v>
      </c>
      <c r="G168" t="s">
        <v>3001</v>
      </c>
    </row>
    <row r="169" spans="1:7" ht="11.25" customHeight="1">
      <c r="A169" t="s">
        <v>14</v>
      </c>
      <c r="B169" t="s">
        <v>2973</v>
      </c>
      <c r="C169" t="s">
        <v>2974</v>
      </c>
      <c r="D169" t="s">
        <v>2881</v>
      </c>
      <c r="E169" t="s">
        <v>3002</v>
      </c>
      <c r="F169" t="s">
        <v>2565</v>
      </c>
      <c r="G169" t="s">
        <v>3003</v>
      </c>
    </row>
    <row r="170" spans="1:7" ht="11.25" customHeight="1">
      <c r="A170" t="s">
        <v>14</v>
      </c>
      <c r="B170" t="s">
        <v>2973</v>
      </c>
      <c r="C170" t="s">
        <v>2974</v>
      </c>
      <c r="D170" t="s">
        <v>3004</v>
      </c>
      <c r="E170" t="s">
        <v>3005</v>
      </c>
      <c r="F170" t="s">
        <v>2565</v>
      </c>
      <c r="G170" t="s">
        <v>3006</v>
      </c>
    </row>
    <row r="171" spans="1:7" ht="11.25" customHeight="1">
      <c r="A171" t="s">
        <v>14</v>
      </c>
      <c r="B171" t="s">
        <v>2973</v>
      </c>
      <c r="C171" t="s">
        <v>2974</v>
      </c>
      <c r="D171" t="s">
        <v>3007</v>
      </c>
      <c r="E171" t="s">
        <v>3008</v>
      </c>
      <c r="F171" t="s">
        <v>2565</v>
      </c>
      <c r="G171" t="s">
        <v>3009</v>
      </c>
    </row>
    <row r="172" spans="1:7" ht="11.25" customHeight="1">
      <c r="A172" t="s">
        <v>14</v>
      </c>
      <c r="B172" t="s">
        <v>2973</v>
      </c>
      <c r="C172" t="s">
        <v>2974</v>
      </c>
      <c r="D172" t="s">
        <v>3010</v>
      </c>
      <c r="E172" t="s">
        <v>3011</v>
      </c>
      <c r="F172" t="s">
        <v>2565</v>
      </c>
      <c r="G172" t="s">
        <v>3012</v>
      </c>
    </row>
    <row r="173" spans="1:7" ht="11.25" customHeight="1">
      <c r="A173" t="s">
        <v>14</v>
      </c>
      <c r="B173" t="s">
        <v>2973</v>
      </c>
      <c r="C173" t="s">
        <v>2974</v>
      </c>
      <c r="D173" t="s">
        <v>3013</v>
      </c>
      <c r="E173" t="s">
        <v>3014</v>
      </c>
      <c r="F173" t="s">
        <v>2565</v>
      </c>
      <c r="G173" t="s">
        <v>3015</v>
      </c>
    </row>
    <row r="174" spans="1:7" ht="11.25" customHeight="1">
      <c r="A174" t="s">
        <v>14</v>
      </c>
      <c r="B174" t="s">
        <v>2973</v>
      </c>
      <c r="C174" t="s">
        <v>2974</v>
      </c>
      <c r="D174" t="s">
        <v>2973</v>
      </c>
      <c r="E174" t="s">
        <v>2974</v>
      </c>
      <c r="F174" t="s">
        <v>2562</v>
      </c>
      <c r="G174" t="s">
        <v>3016</v>
      </c>
    </row>
    <row r="175" spans="1:7" ht="11.25" customHeight="1">
      <c r="A175" t="s">
        <v>14</v>
      </c>
      <c r="B175" t="s">
        <v>2973</v>
      </c>
      <c r="C175" t="s">
        <v>2974</v>
      </c>
      <c r="D175" t="s">
        <v>3017</v>
      </c>
      <c r="E175" t="s">
        <v>3018</v>
      </c>
      <c r="F175" t="s">
        <v>2565</v>
      </c>
      <c r="G175" t="s">
        <v>3019</v>
      </c>
    </row>
    <row r="176" spans="1:7" ht="11.25" customHeight="1">
      <c r="A176" t="s">
        <v>14</v>
      </c>
      <c r="B176" t="s">
        <v>2973</v>
      </c>
      <c r="C176" t="s">
        <v>2974</v>
      </c>
      <c r="D176" t="s">
        <v>3020</v>
      </c>
      <c r="E176" t="s">
        <v>3021</v>
      </c>
      <c r="F176" t="s">
        <v>2565</v>
      </c>
      <c r="G176" t="s">
        <v>3022</v>
      </c>
    </row>
    <row r="177" spans="1:7" ht="11.25" customHeight="1">
      <c r="A177" t="s">
        <v>14</v>
      </c>
      <c r="B177" t="s">
        <v>2973</v>
      </c>
      <c r="C177" t="s">
        <v>2974</v>
      </c>
      <c r="D177" t="s">
        <v>3023</v>
      </c>
      <c r="E177" t="s">
        <v>3024</v>
      </c>
      <c r="F177" t="s">
        <v>2565</v>
      </c>
      <c r="G177" t="s">
        <v>3025</v>
      </c>
    </row>
    <row r="178" spans="1:7" ht="11.25" customHeight="1">
      <c r="A178" t="s">
        <v>14</v>
      </c>
      <c r="B178" t="s">
        <v>2973</v>
      </c>
      <c r="C178" t="s">
        <v>2974</v>
      </c>
      <c r="D178" t="s">
        <v>3026</v>
      </c>
      <c r="E178" t="s">
        <v>3027</v>
      </c>
      <c r="F178" t="s">
        <v>2565</v>
      </c>
      <c r="G178" t="s">
        <v>3028</v>
      </c>
    </row>
    <row r="179" spans="1:7" ht="11.25" customHeight="1">
      <c r="A179" t="s">
        <v>14</v>
      </c>
      <c r="B179" t="s">
        <v>2973</v>
      </c>
      <c r="C179" t="s">
        <v>2974</v>
      </c>
      <c r="D179" t="s">
        <v>3029</v>
      </c>
      <c r="E179" t="s">
        <v>3030</v>
      </c>
      <c r="F179" t="s">
        <v>2565</v>
      </c>
      <c r="G179" t="s">
        <v>3031</v>
      </c>
    </row>
    <row r="180" spans="1:7" ht="11.25" customHeight="1">
      <c r="A180" t="s">
        <v>14</v>
      </c>
      <c r="B180" t="s">
        <v>2973</v>
      </c>
      <c r="C180" t="s">
        <v>2974</v>
      </c>
      <c r="D180" t="s">
        <v>3032</v>
      </c>
      <c r="E180" t="s">
        <v>3033</v>
      </c>
      <c r="F180" t="s">
        <v>2565</v>
      </c>
      <c r="G180" t="s">
        <v>3034</v>
      </c>
    </row>
    <row r="181" spans="1:7" ht="11.25" customHeight="1">
      <c r="A181" t="s">
        <v>14</v>
      </c>
      <c r="B181" t="s">
        <v>2973</v>
      </c>
      <c r="C181" t="s">
        <v>2974</v>
      </c>
      <c r="D181" t="s">
        <v>3035</v>
      </c>
      <c r="E181" t="s">
        <v>3036</v>
      </c>
      <c r="F181" t="s">
        <v>2742</v>
      </c>
      <c r="G181" t="s">
        <v>3037</v>
      </c>
    </row>
    <row r="182" spans="1:7" ht="11.25" customHeight="1">
      <c r="A182" t="s">
        <v>14</v>
      </c>
      <c r="B182" t="s">
        <v>3038</v>
      </c>
      <c r="C182" t="s">
        <v>3039</v>
      </c>
      <c r="D182" t="s">
        <v>3040</v>
      </c>
      <c r="E182" t="s">
        <v>3041</v>
      </c>
      <c r="F182" t="s">
        <v>2565</v>
      </c>
      <c r="G182" t="s">
        <v>3042</v>
      </c>
    </row>
    <row r="183" spans="1:7" ht="11.25" customHeight="1">
      <c r="A183" t="s">
        <v>14</v>
      </c>
      <c r="B183" t="s">
        <v>3038</v>
      </c>
      <c r="C183" t="s">
        <v>3039</v>
      </c>
      <c r="D183" t="s">
        <v>3043</v>
      </c>
      <c r="E183" t="s">
        <v>3044</v>
      </c>
      <c r="F183" t="s">
        <v>2565</v>
      </c>
      <c r="G183" t="s">
        <v>3045</v>
      </c>
    </row>
    <row r="184" spans="1:7" ht="11.25" customHeight="1">
      <c r="A184" t="s">
        <v>14</v>
      </c>
      <c r="B184" t="s">
        <v>3038</v>
      </c>
      <c r="C184" t="s">
        <v>3039</v>
      </c>
      <c r="D184" t="s">
        <v>3046</v>
      </c>
      <c r="E184" t="s">
        <v>3047</v>
      </c>
      <c r="F184" t="s">
        <v>2565</v>
      </c>
      <c r="G184" t="s">
        <v>3048</v>
      </c>
    </row>
    <row r="185" spans="1:7" ht="11.25" customHeight="1">
      <c r="A185" t="s">
        <v>14</v>
      </c>
      <c r="B185" t="s">
        <v>3038</v>
      </c>
      <c r="C185" t="s">
        <v>3039</v>
      </c>
      <c r="D185" t="s">
        <v>3049</v>
      </c>
      <c r="E185" t="s">
        <v>3050</v>
      </c>
      <c r="F185" t="s">
        <v>2565</v>
      </c>
      <c r="G185" t="s">
        <v>3051</v>
      </c>
    </row>
    <row r="186" spans="1:7" ht="11.25" customHeight="1">
      <c r="A186" t="s">
        <v>14</v>
      </c>
      <c r="B186" t="s">
        <v>3038</v>
      </c>
      <c r="C186" t="s">
        <v>3039</v>
      </c>
      <c r="D186" t="s">
        <v>3052</v>
      </c>
      <c r="E186" t="s">
        <v>3053</v>
      </c>
      <c r="F186" t="s">
        <v>2565</v>
      </c>
      <c r="G186" t="s">
        <v>3054</v>
      </c>
    </row>
    <row r="187" spans="1:7" ht="11.25" customHeight="1">
      <c r="A187" t="s">
        <v>14</v>
      </c>
      <c r="B187" t="s">
        <v>3038</v>
      </c>
      <c r="C187" t="s">
        <v>3039</v>
      </c>
      <c r="D187" t="s">
        <v>3055</v>
      </c>
      <c r="E187" t="s">
        <v>3056</v>
      </c>
      <c r="F187" t="s">
        <v>2565</v>
      </c>
      <c r="G187" t="s">
        <v>3057</v>
      </c>
    </row>
    <row r="188" spans="1:7" ht="11.25" customHeight="1">
      <c r="A188" t="s">
        <v>14</v>
      </c>
      <c r="B188" t="s">
        <v>3038</v>
      </c>
      <c r="C188" t="s">
        <v>3039</v>
      </c>
      <c r="D188" t="s">
        <v>3058</v>
      </c>
      <c r="E188" t="s">
        <v>3059</v>
      </c>
      <c r="F188" t="s">
        <v>2565</v>
      </c>
      <c r="G188" t="s">
        <v>3060</v>
      </c>
    </row>
    <row r="189" spans="1:7" ht="11.25" customHeight="1">
      <c r="A189" t="s">
        <v>14</v>
      </c>
      <c r="B189" t="s">
        <v>3038</v>
      </c>
      <c r="C189" t="s">
        <v>3039</v>
      </c>
      <c r="D189" t="s">
        <v>3061</v>
      </c>
      <c r="E189" t="s">
        <v>3062</v>
      </c>
      <c r="F189" t="s">
        <v>2565</v>
      </c>
      <c r="G189" t="s">
        <v>3063</v>
      </c>
    </row>
    <row r="190" spans="1:7" ht="11.25" customHeight="1">
      <c r="A190" t="s">
        <v>14</v>
      </c>
      <c r="B190" t="s">
        <v>3038</v>
      </c>
      <c r="C190" t="s">
        <v>3039</v>
      </c>
      <c r="D190" t="s">
        <v>3038</v>
      </c>
      <c r="E190" t="s">
        <v>3039</v>
      </c>
      <c r="F190" t="s">
        <v>2562</v>
      </c>
      <c r="G190" t="s">
        <v>3064</v>
      </c>
    </row>
    <row r="191" spans="1:7" ht="11.25" customHeight="1">
      <c r="A191" t="s">
        <v>14</v>
      </c>
      <c r="B191" t="s">
        <v>3038</v>
      </c>
      <c r="C191" t="s">
        <v>3039</v>
      </c>
      <c r="D191" t="s">
        <v>3065</v>
      </c>
      <c r="E191" t="s">
        <v>3066</v>
      </c>
      <c r="F191" t="s">
        <v>2565</v>
      </c>
      <c r="G191" t="s">
        <v>3067</v>
      </c>
    </row>
    <row r="192" spans="1:7" ht="11.25" customHeight="1">
      <c r="A192" t="s">
        <v>14</v>
      </c>
      <c r="B192" t="s">
        <v>3038</v>
      </c>
      <c r="C192" t="s">
        <v>3039</v>
      </c>
      <c r="D192" t="s">
        <v>3068</v>
      </c>
      <c r="E192" t="s">
        <v>3069</v>
      </c>
      <c r="F192" t="s">
        <v>2565</v>
      </c>
      <c r="G192" t="s">
        <v>3070</v>
      </c>
    </row>
    <row r="193" spans="1:7" ht="11.25" customHeight="1">
      <c r="A193" t="s">
        <v>14</v>
      </c>
      <c r="B193" t="s">
        <v>3038</v>
      </c>
      <c r="C193" t="s">
        <v>3039</v>
      </c>
      <c r="D193" t="s">
        <v>3071</v>
      </c>
      <c r="E193" t="s">
        <v>3072</v>
      </c>
      <c r="F193" t="s">
        <v>2565</v>
      </c>
      <c r="G193" t="s">
        <v>3073</v>
      </c>
    </row>
    <row r="194" spans="1:7" ht="11.25" customHeight="1">
      <c r="A194" t="s">
        <v>14</v>
      </c>
      <c r="B194" t="s">
        <v>3038</v>
      </c>
      <c r="C194" t="s">
        <v>3039</v>
      </c>
      <c r="D194" t="s">
        <v>3074</v>
      </c>
      <c r="E194" t="s">
        <v>3075</v>
      </c>
      <c r="F194" t="s">
        <v>2565</v>
      </c>
      <c r="G194" t="s">
        <v>3076</v>
      </c>
    </row>
    <row r="195" spans="1:7" ht="11.25" customHeight="1">
      <c r="A195" t="s">
        <v>14</v>
      </c>
      <c r="B195" t="s">
        <v>3038</v>
      </c>
      <c r="C195" t="s">
        <v>3039</v>
      </c>
      <c r="D195" t="s">
        <v>3077</v>
      </c>
      <c r="E195" t="s">
        <v>3078</v>
      </c>
      <c r="F195" t="s">
        <v>2565</v>
      </c>
      <c r="G195" t="s">
        <v>3079</v>
      </c>
    </row>
    <row r="196" spans="1:7" ht="11.25" customHeight="1">
      <c r="A196" t="s">
        <v>14</v>
      </c>
      <c r="B196" t="s">
        <v>3038</v>
      </c>
      <c r="C196" t="s">
        <v>3039</v>
      </c>
      <c r="D196" t="s">
        <v>2860</v>
      </c>
      <c r="E196" t="s">
        <v>3080</v>
      </c>
      <c r="F196" t="s">
        <v>2565</v>
      </c>
      <c r="G196" t="s">
        <v>3081</v>
      </c>
    </row>
    <row r="197" spans="1:7" ht="11.25" customHeight="1">
      <c r="A197" t="s">
        <v>14</v>
      </c>
      <c r="B197" t="s">
        <v>3038</v>
      </c>
      <c r="C197" t="s">
        <v>3039</v>
      </c>
      <c r="D197" t="s">
        <v>3082</v>
      </c>
      <c r="E197" t="s">
        <v>3083</v>
      </c>
      <c r="F197" t="s">
        <v>2742</v>
      </c>
      <c r="G197" t="s">
        <v>3084</v>
      </c>
    </row>
    <row r="198" spans="1:7" ht="11.25" customHeight="1">
      <c r="A198" t="s">
        <v>14</v>
      </c>
      <c r="B198" t="s">
        <v>3038</v>
      </c>
      <c r="C198" t="s">
        <v>3039</v>
      </c>
      <c r="D198" t="s">
        <v>3085</v>
      </c>
      <c r="E198" t="s">
        <v>3086</v>
      </c>
      <c r="F198" t="s">
        <v>2608</v>
      </c>
      <c r="G198" t="s">
        <v>3087</v>
      </c>
    </row>
    <row r="199" spans="1:7" ht="11.25" customHeight="1">
      <c r="A199" t="s">
        <v>14</v>
      </c>
      <c r="B199" t="s">
        <v>3088</v>
      </c>
      <c r="C199" t="s">
        <v>3089</v>
      </c>
      <c r="D199" t="s">
        <v>3090</v>
      </c>
      <c r="E199" t="s">
        <v>3091</v>
      </c>
      <c r="F199" t="s">
        <v>2565</v>
      </c>
      <c r="G199" t="s">
        <v>3092</v>
      </c>
    </row>
    <row r="200" spans="1:7" ht="11.25" customHeight="1">
      <c r="A200" t="s">
        <v>14</v>
      </c>
      <c r="B200" t="s">
        <v>3088</v>
      </c>
      <c r="C200" t="s">
        <v>3089</v>
      </c>
      <c r="D200" t="s">
        <v>2617</v>
      </c>
      <c r="E200" t="s">
        <v>3093</v>
      </c>
      <c r="F200" t="s">
        <v>2565</v>
      </c>
      <c r="G200" t="s">
        <v>3094</v>
      </c>
    </row>
    <row r="201" spans="1:7" ht="11.25" customHeight="1">
      <c r="A201" t="s">
        <v>14</v>
      </c>
      <c r="B201" t="s">
        <v>3088</v>
      </c>
      <c r="C201" t="s">
        <v>3089</v>
      </c>
      <c r="D201" t="s">
        <v>3095</v>
      </c>
      <c r="E201" t="s">
        <v>3096</v>
      </c>
      <c r="F201" t="s">
        <v>2565</v>
      </c>
      <c r="G201" t="s">
        <v>3097</v>
      </c>
    </row>
    <row r="202" spans="1:7" ht="11.25" customHeight="1">
      <c r="A202" t="s">
        <v>14</v>
      </c>
      <c r="B202" t="s">
        <v>3088</v>
      </c>
      <c r="C202" t="s">
        <v>3089</v>
      </c>
      <c r="D202" t="s">
        <v>3098</v>
      </c>
      <c r="E202" t="s">
        <v>3099</v>
      </c>
      <c r="F202" t="s">
        <v>2565</v>
      </c>
      <c r="G202" t="s">
        <v>3100</v>
      </c>
    </row>
    <row r="203" spans="1:7" ht="11.25" customHeight="1">
      <c r="A203" t="s">
        <v>14</v>
      </c>
      <c r="B203" t="s">
        <v>3088</v>
      </c>
      <c r="C203" t="s">
        <v>3089</v>
      </c>
      <c r="D203" t="s">
        <v>3101</v>
      </c>
      <c r="E203" t="s">
        <v>3102</v>
      </c>
      <c r="F203" t="s">
        <v>2565</v>
      </c>
      <c r="G203" t="s">
        <v>3103</v>
      </c>
    </row>
    <row r="204" spans="1:7" ht="11.25" customHeight="1">
      <c r="A204" t="s">
        <v>14</v>
      </c>
      <c r="B204" t="s">
        <v>3088</v>
      </c>
      <c r="C204" t="s">
        <v>3089</v>
      </c>
      <c r="D204" t="s">
        <v>2758</v>
      </c>
      <c r="E204" t="s">
        <v>3104</v>
      </c>
      <c r="F204" t="s">
        <v>2565</v>
      </c>
      <c r="G204" t="s">
        <v>3105</v>
      </c>
    </row>
    <row r="205" spans="1:7" ht="11.25" customHeight="1">
      <c r="A205" t="s">
        <v>14</v>
      </c>
      <c r="B205" t="s">
        <v>3088</v>
      </c>
      <c r="C205" t="s">
        <v>3089</v>
      </c>
      <c r="D205" t="s">
        <v>2951</v>
      </c>
      <c r="E205" t="s">
        <v>3106</v>
      </c>
      <c r="F205" t="s">
        <v>2565</v>
      </c>
      <c r="G205" t="s">
        <v>3107</v>
      </c>
    </row>
    <row r="206" spans="1:7" ht="11.25" customHeight="1">
      <c r="A206" t="s">
        <v>14</v>
      </c>
      <c r="B206" t="s">
        <v>3088</v>
      </c>
      <c r="C206" t="s">
        <v>3089</v>
      </c>
      <c r="D206" t="s">
        <v>3108</v>
      </c>
      <c r="E206" t="s">
        <v>3109</v>
      </c>
      <c r="F206" t="s">
        <v>2565</v>
      </c>
      <c r="G206" t="s">
        <v>3110</v>
      </c>
    </row>
    <row r="207" spans="1:7" ht="11.25" customHeight="1">
      <c r="A207" t="s">
        <v>14</v>
      </c>
      <c r="B207" t="s">
        <v>3088</v>
      </c>
      <c r="C207" t="s">
        <v>3089</v>
      </c>
      <c r="D207" t="s">
        <v>3111</v>
      </c>
      <c r="E207" t="s">
        <v>3112</v>
      </c>
      <c r="F207" t="s">
        <v>2565</v>
      </c>
      <c r="G207" t="s">
        <v>3113</v>
      </c>
    </row>
    <row r="208" spans="1:7" ht="11.25" customHeight="1">
      <c r="A208" t="s">
        <v>14</v>
      </c>
      <c r="B208" t="s">
        <v>3088</v>
      </c>
      <c r="C208" t="s">
        <v>3089</v>
      </c>
      <c r="D208" t="s">
        <v>3114</v>
      </c>
      <c r="E208" t="s">
        <v>3115</v>
      </c>
      <c r="F208" t="s">
        <v>2565</v>
      </c>
      <c r="G208" t="s">
        <v>3116</v>
      </c>
    </row>
    <row r="209" spans="1:7" ht="11.25" customHeight="1">
      <c r="A209" t="s">
        <v>14</v>
      </c>
      <c r="B209" t="s">
        <v>3088</v>
      </c>
      <c r="C209" t="s">
        <v>3089</v>
      </c>
      <c r="D209" t="s">
        <v>3088</v>
      </c>
      <c r="E209" t="s">
        <v>3089</v>
      </c>
      <c r="F209" t="s">
        <v>2562</v>
      </c>
      <c r="G209" t="s">
        <v>3117</v>
      </c>
    </row>
    <row r="210" spans="1:7" ht="11.25" customHeight="1">
      <c r="A210" t="s">
        <v>14</v>
      </c>
      <c r="B210" t="s">
        <v>3088</v>
      </c>
      <c r="C210" t="s">
        <v>3089</v>
      </c>
      <c r="D210" t="s">
        <v>3118</v>
      </c>
      <c r="E210" t="s">
        <v>3119</v>
      </c>
      <c r="F210" t="s">
        <v>2565</v>
      </c>
      <c r="G210" t="s">
        <v>3120</v>
      </c>
    </row>
    <row r="211" spans="1:7" ht="11.25" customHeight="1">
      <c r="A211" t="s">
        <v>14</v>
      </c>
      <c r="B211" t="s">
        <v>3088</v>
      </c>
      <c r="C211" t="s">
        <v>3089</v>
      </c>
      <c r="D211" t="s">
        <v>3121</v>
      </c>
      <c r="E211" t="s">
        <v>3122</v>
      </c>
      <c r="F211" t="s">
        <v>2565</v>
      </c>
      <c r="G211" t="s">
        <v>3123</v>
      </c>
    </row>
    <row r="212" spans="1:7" ht="11.25" customHeight="1">
      <c r="A212" t="s">
        <v>14</v>
      </c>
      <c r="B212" t="s">
        <v>3088</v>
      </c>
      <c r="C212" t="s">
        <v>3089</v>
      </c>
      <c r="D212" t="s">
        <v>3124</v>
      </c>
      <c r="E212" t="s">
        <v>3125</v>
      </c>
      <c r="F212" t="s">
        <v>2565</v>
      </c>
      <c r="G212" t="s">
        <v>3126</v>
      </c>
    </row>
    <row r="213" spans="1:7" ht="11.25" customHeight="1">
      <c r="A213" t="s">
        <v>14</v>
      </c>
      <c r="B213" t="s">
        <v>3088</v>
      </c>
      <c r="C213" t="s">
        <v>3089</v>
      </c>
      <c r="D213" t="s">
        <v>3127</v>
      </c>
      <c r="E213" t="s">
        <v>3128</v>
      </c>
      <c r="F213" t="s">
        <v>2565</v>
      </c>
      <c r="G213" t="s">
        <v>3129</v>
      </c>
    </row>
    <row r="214" spans="1:7" ht="11.25" customHeight="1">
      <c r="A214" t="s">
        <v>14</v>
      </c>
      <c r="B214" t="s">
        <v>3088</v>
      </c>
      <c r="C214" t="s">
        <v>3089</v>
      </c>
      <c r="D214" t="s">
        <v>3130</v>
      </c>
      <c r="E214" t="s">
        <v>3131</v>
      </c>
      <c r="F214" t="s">
        <v>2742</v>
      </c>
      <c r="G214" t="s">
        <v>3132</v>
      </c>
    </row>
    <row r="215" spans="1:7" ht="11.25" customHeight="1">
      <c r="A215" t="s">
        <v>14</v>
      </c>
      <c r="B215" t="s">
        <v>3133</v>
      </c>
      <c r="C215" t="s">
        <v>3134</v>
      </c>
      <c r="D215" t="s">
        <v>3133</v>
      </c>
      <c r="E215" t="s">
        <v>3134</v>
      </c>
      <c r="F215" t="s">
        <v>2559</v>
      </c>
      <c r="G215" t="s">
        <v>3135</v>
      </c>
    </row>
    <row r="216" spans="1:7" ht="11.25" customHeight="1">
      <c r="A216" t="s">
        <v>14</v>
      </c>
      <c r="B216" t="s">
        <v>3136</v>
      </c>
      <c r="C216" t="s">
        <v>3137</v>
      </c>
      <c r="D216" t="s">
        <v>2566</v>
      </c>
      <c r="E216" t="s">
        <v>3138</v>
      </c>
      <c r="F216" t="s">
        <v>2565</v>
      </c>
      <c r="G216" t="s">
        <v>3139</v>
      </c>
    </row>
    <row r="217" spans="1:7" ht="11.25" customHeight="1">
      <c r="A217" t="s">
        <v>14</v>
      </c>
      <c r="B217" t="s">
        <v>3136</v>
      </c>
      <c r="C217" t="s">
        <v>3137</v>
      </c>
      <c r="D217" t="s">
        <v>3140</v>
      </c>
      <c r="E217" t="s">
        <v>3141</v>
      </c>
      <c r="F217" t="s">
        <v>2565</v>
      </c>
      <c r="G217" t="s">
        <v>3142</v>
      </c>
    </row>
    <row r="218" spans="1:7" ht="11.25" customHeight="1">
      <c r="A218" t="s">
        <v>14</v>
      </c>
      <c r="B218" t="s">
        <v>3136</v>
      </c>
      <c r="C218" t="s">
        <v>3137</v>
      </c>
      <c r="D218" t="s">
        <v>3143</v>
      </c>
      <c r="E218" t="s">
        <v>3144</v>
      </c>
      <c r="F218" t="s">
        <v>2565</v>
      </c>
      <c r="G218" t="s">
        <v>3145</v>
      </c>
    </row>
    <row r="219" spans="1:7" ht="11.25" customHeight="1">
      <c r="A219" t="s">
        <v>14</v>
      </c>
      <c r="B219" t="s">
        <v>3136</v>
      </c>
      <c r="C219" t="s">
        <v>3137</v>
      </c>
      <c r="D219" t="s">
        <v>3146</v>
      </c>
      <c r="E219" t="s">
        <v>3147</v>
      </c>
      <c r="F219" t="s">
        <v>2565</v>
      </c>
      <c r="G219" t="s">
        <v>3148</v>
      </c>
    </row>
    <row r="220" spans="1:7" ht="11.25" customHeight="1">
      <c r="A220" t="s">
        <v>14</v>
      </c>
      <c r="B220" t="s">
        <v>3136</v>
      </c>
      <c r="C220" t="s">
        <v>3137</v>
      </c>
      <c r="D220" t="s">
        <v>3149</v>
      </c>
      <c r="E220" t="s">
        <v>3150</v>
      </c>
      <c r="F220" t="s">
        <v>2565</v>
      </c>
      <c r="G220" t="s">
        <v>3151</v>
      </c>
    </row>
    <row r="221" spans="1:7" ht="11.25" customHeight="1">
      <c r="A221" t="s">
        <v>14</v>
      </c>
      <c r="B221" t="s">
        <v>3136</v>
      </c>
      <c r="C221" t="s">
        <v>3137</v>
      </c>
      <c r="D221" t="s">
        <v>3152</v>
      </c>
      <c r="E221" t="s">
        <v>3153</v>
      </c>
      <c r="F221" t="s">
        <v>2565</v>
      </c>
      <c r="G221" t="s">
        <v>3154</v>
      </c>
    </row>
    <row r="222" spans="1:7" ht="11.25" customHeight="1">
      <c r="A222" t="s">
        <v>14</v>
      </c>
      <c r="B222" t="s">
        <v>3136</v>
      </c>
      <c r="C222" t="s">
        <v>3137</v>
      </c>
      <c r="D222" t="s">
        <v>3155</v>
      </c>
      <c r="E222" t="s">
        <v>3156</v>
      </c>
      <c r="F222" t="s">
        <v>2565</v>
      </c>
      <c r="G222" t="s">
        <v>3157</v>
      </c>
    </row>
    <row r="223" spans="1:7" ht="11.25" customHeight="1">
      <c r="A223" t="s">
        <v>14</v>
      </c>
      <c r="B223" t="s">
        <v>3136</v>
      </c>
      <c r="C223" t="s">
        <v>3137</v>
      </c>
      <c r="D223" t="s">
        <v>2657</v>
      </c>
      <c r="E223" t="s">
        <v>3158</v>
      </c>
      <c r="F223" t="s">
        <v>2565</v>
      </c>
      <c r="G223" t="s">
        <v>3159</v>
      </c>
    </row>
    <row r="224" spans="1:7" ht="11.25" customHeight="1">
      <c r="A224" t="s">
        <v>14</v>
      </c>
      <c r="B224" t="s">
        <v>3136</v>
      </c>
      <c r="C224" t="s">
        <v>3137</v>
      </c>
      <c r="D224" t="s">
        <v>3160</v>
      </c>
      <c r="E224" t="s">
        <v>3161</v>
      </c>
      <c r="F224" t="s">
        <v>2565</v>
      </c>
      <c r="G224" t="s">
        <v>3162</v>
      </c>
    </row>
    <row r="225" spans="1:7" ht="11.25" customHeight="1">
      <c r="A225" t="s">
        <v>14</v>
      </c>
      <c r="B225" t="s">
        <v>3136</v>
      </c>
      <c r="C225" t="s">
        <v>3137</v>
      </c>
      <c r="D225" t="s">
        <v>3163</v>
      </c>
      <c r="E225" t="s">
        <v>3164</v>
      </c>
      <c r="F225" t="s">
        <v>2565</v>
      </c>
      <c r="G225" t="s">
        <v>3165</v>
      </c>
    </row>
    <row r="226" spans="1:7" ht="11.25" customHeight="1">
      <c r="A226" t="s">
        <v>14</v>
      </c>
      <c r="B226" t="s">
        <v>3136</v>
      </c>
      <c r="C226" t="s">
        <v>3137</v>
      </c>
      <c r="D226" t="s">
        <v>3136</v>
      </c>
      <c r="E226" t="s">
        <v>3137</v>
      </c>
      <c r="F226" t="s">
        <v>2562</v>
      </c>
      <c r="G226" t="s">
        <v>3166</v>
      </c>
    </row>
    <row r="227" spans="1:7" ht="11.25" customHeight="1">
      <c r="A227" t="s">
        <v>14</v>
      </c>
      <c r="B227" t="s">
        <v>3136</v>
      </c>
      <c r="C227" t="s">
        <v>3137</v>
      </c>
      <c r="D227" t="s">
        <v>3167</v>
      </c>
      <c r="E227" t="s">
        <v>3168</v>
      </c>
      <c r="F227" t="s">
        <v>2565</v>
      </c>
      <c r="G227" t="s">
        <v>3169</v>
      </c>
    </row>
    <row r="228" spans="1:7" ht="11.25" customHeight="1">
      <c r="A228" t="s">
        <v>14</v>
      </c>
      <c r="B228" t="s">
        <v>3136</v>
      </c>
      <c r="C228" t="s">
        <v>3137</v>
      </c>
      <c r="D228" t="s">
        <v>3170</v>
      </c>
      <c r="E228" t="s">
        <v>3171</v>
      </c>
      <c r="F228" t="s">
        <v>2565</v>
      </c>
      <c r="G228" t="s">
        <v>3172</v>
      </c>
    </row>
    <row r="229" spans="1:7" ht="11.25" customHeight="1">
      <c r="A229" t="s">
        <v>14</v>
      </c>
      <c r="B229" t="s">
        <v>3136</v>
      </c>
      <c r="C229" t="s">
        <v>3137</v>
      </c>
      <c r="D229" t="s">
        <v>3173</v>
      </c>
      <c r="E229" t="s">
        <v>3174</v>
      </c>
      <c r="F229" t="s">
        <v>2565</v>
      </c>
      <c r="G229" t="s">
        <v>3175</v>
      </c>
    </row>
    <row r="230" spans="1:7" ht="11.25" customHeight="1">
      <c r="A230" t="s">
        <v>14</v>
      </c>
      <c r="B230" t="s">
        <v>3136</v>
      </c>
      <c r="C230" t="s">
        <v>3137</v>
      </c>
      <c r="D230" t="s">
        <v>3176</v>
      </c>
      <c r="E230" t="s">
        <v>3177</v>
      </c>
      <c r="F230" t="s">
        <v>2565</v>
      </c>
      <c r="G230" t="s">
        <v>3178</v>
      </c>
    </row>
    <row r="231" spans="1:7" ht="11.25" customHeight="1">
      <c r="A231" t="s">
        <v>14</v>
      </c>
      <c r="B231" t="s">
        <v>3136</v>
      </c>
      <c r="C231" t="s">
        <v>3137</v>
      </c>
      <c r="D231" t="s">
        <v>3179</v>
      </c>
      <c r="E231" t="s">
        <v>3180</v>
      </c>
      <c r="F231" t="s">
        <v>2565</v>
      </c>
      <c r="G231" t="s">
        <v>3181</v>
      </c>
    </row>
    <row r="232" spans="1:7" ht="11.25" customHeight="1">
      <c r="A232" t="s">
        <v>14</v>
      </c>
      <c r="B232" t="s">
        <v>3136</v>
      </c>
      <c r="C232" t="s">
        <v>3137</v>
      </c>
      <c r="D232" t="s">
        <v>3182</v>
      </c>
      <c r="E232" t="s">
        <v>3183</v>
      </c>
      <c r="F232" t="s">
        <v>2565</v>
      </c>
      <c r="G232" t="s">
        <v>3184</v>
      </c>
    </row>
    <row r="233" spans="1:7" ht="11.25" customHeight="1">
      <c r="A233" t="s">
        <v>14</v>
      </c>
      <c r="B233" t="s">
        <v>3136</v>
      </c>
      <c r="C233" t="s">
        <v>3137</v>
      </c>
      <c r="D233" t="s">
        <v>3185</v>
      </c>
      <c r="E233" t="s">
        <v>3186</v>
      </c>
      <c r="F233" t="s">
        <v>2565</v>
      </c>
      <c r="G233" t="s">
        <v>3187</v>
      </c>
    </row>
    <row r="234" spans="1:7" ht="11.25" customHeight="1">
      <c r="A234" t="s">
        <v>14</v>
      </c>
      <c r="B234" t="s">
        <v>3136</v>
      </c>
      <c r="C234" t="s">
        <v>3137</v>
      </c>
      <c r="D234" t="s">
        <v>3188</v>
      </c>
      <c r="E234" t="s">
        <v>3189</v>
      </c>
      <c r="F234" t="s">
        <v>2742</v>
      </c>
      <c r="G234" t="s">
        <v>3190</v>
      </c>
    </row>
    <row r="235" spans="1:7" ht="11.25" customHeight="1">
      <c r="A235" t="s">
        <v>14</v>
      </c>
      <c r="B235" t="s">
        <v>3191</v>
      </c>
      <c r="C235" t="s">
        <v>3192</v>
      </c>
      <c r="D235" t="s">
        <v>3193</v>
      </c>
      <c r="E235" t="s">
        <v>3194</v>
      </c>
      <c r="F235" t="s">
        <v>2565</v>
      </c>
      <c r="G235" t="s">
        <v>3195</v>
      </c>
    </row>
    <row r="236" spans="1:7" ht="11.25" customHeight="1">
      <c r="A236" t="s">
        <v>14</v>
      </c>
      <c r="B236" t="s">
        <v>3191</v>
      </c>
      <c r="C236" t="s">
        <v>3192</v>
      </c>
      <c r="D236" t="s">
        <v>3196</v>
      </c>
      <c r="E236" t="s">
        <v>3197</v>
      </c>
      <c r="F236" t="s">
        <v>2565</v>
      </c>
      <c r="G236" t="s">
        <v>3198</v>
      </c>
    </row>
    <row r="237" spans="1:7" ht="11.25" customHeight="1">
      <c r="A237" t="s">
        <v>14</v>
      </c>
      <c r="B237" t="s">
        <v>3191</v>
      </c>
      <c r="C237" t="s">
        <v>3192</v>
      </c>
      <c r="D237" t="s">
        <v>2948</v>
      </c>
      <c r="E237" t="s">
        <v>3199</v>
      </c>
      <c r="F237" t="s">
        <v>2565</v>
      </c>
      <c r="G237" t="s">
        <v>3200</v>
      </c>
    </row>
    <row r="238" spans="1:7" ht="11.25" customHeight="1">
      <c r="A238" t="s">
        <v>14</v>
      </c>
      <c r="B238" t="s">
        <v>3191</v>
      </c>
      <c r="C238" t="s">
        <v>3192</v>
      </c>
      <c r="D238" t="s">
        <v>3201</v>
      </c>
      <c r="E238" t="s">
        <v>3202</v>
      </c>
      <c r="F238" t="s">
        <v>2565</v>
      </c>
      <c r="G238" t="s">
        <v>3203</v>
      </c>
    </row>
    <row r="239" spans="1:7" ht="11.25" customHeight="1">
      <c r="A239" t="s">
        <v>14</v>
      </c>
      <c r="B239" t="s">
        <v>3191</v>
      </c>
      <c r="C239" t="s">
        <v>3192</v>
      </c>
      <c r="D239" t="s">
        <v>2919</v>
      </c>
      <c r="E239" t="s">
        <v>3204</v>
      </c>
      <c r="F239" t="s">
        <v>2565</v>
      </c>
      <c r="G239" t="s">
        <v>3205</v>
      </c>
    </row>
    <row r="240" spans="1:7" ht="11.25" customHeight="1">
      <c r="A240" t="s">
        <v>14</v>
      </c>
      <c r="B240" t="s">
        <v>3191</v>
      </c>
      <c r="C240" t="s">
        <v>3192</v>
      </c>
      <c r="D240" t="s">
        <v>3206</v>
      </c>
      <c r="E240" t="s">
        <v>3207</v>
      </c>
      <c r="F240" t="s">
        <v>2565</v>
      </c>
      <c r="G240" t="s">
        <v>3208</v>
      </c>
    </row>
    <row r="241" spans="1:7" ht="11.25" customHeight="1">
      <c r="A241" t="s">
        <v>14</v>
      </c>
      <c r="B241" t="s">
        <v>3191</v>
      </c>
      <c r="C241" t="s">
        <v>3192</v>
      </c>
      <c r="D241" t="s">
        <v>3209</v>
      </c>
      <c r="E241" t="s">
        <v>3210</v>
      </c>
      <c r="F241" t="s">
        <v>2565</v>
      </c>
      <c r="G241" t="s">
        <v>3211</v>
      </c>
    </row>
    <row r="242" spans="1:7" ht="11.25" customHeight="1">
      <c r="A242" t="s">
        <v>14</v>
      </c>
      <c r="B242" t="s">
        <v>3191</v>
      </c>
      <c r="C242" t="s">
        <v>3192</v>
      </c>
      <c r="D242" t="s">
        <v>3212</v>
      </c>
      <c r="E242" t="s">
        <v>3213</v>
      </c>
      <c r="F242" t="s">
        <v>2565</v>
      </c>
      <c r="G242" t="s">
        <v>3214</v>
      </c>
    </row>
    <row r="243" spans="1:7" ht="11.25" customHeight="1">
      <c r="A243" t="s">
        <v>14</v>
      </c>
      <c r="B243" t="s">
        <v>3191</v>
      </c>
      <c r="C243" t="s">
        <v>3192</v>
      </c>
      <c r="D243" t="s">
        <v>3215</v>
      </c>
      <c r="E243" t="s">
        <v>3216</v>
      </c>
      <c r="F243" t="s">
        <v>2565</v>
      </c>
      <c r="G243" t="s">
        <v>3217</v>
      </c>
    </row>
    <row r="244" spans="1:7" ht="11.25" customHeight="1">
      <c r="A244" t="s">
        <v>14</v>
      </c>
      <c r="B244" t="s">
        <v>3191</v>
      </c>
      <c r="C244" t="s">
        <v>3192</v>
      </c>
      <c r="D244" t="s">
        <v>2839</v>
      </c>
      <c r="E244" t="s">
        <v>3218</v>
      </c>
      <c r="F244" t="s">
        <v>2565</v>
      </c>
      <c r="G244" t="s">
        <v>3219</v>
      </c>
    </row>
    <row r="245" spans="1:7" ht="11.25" customHeight="1">
      <c r="A245" t="s">
        <v>14</v>
      </c>
      <c r="B245" t="s">
        <v>3191</v>
      </c>
      <c r="C245" t="s">
        <v>3192</v>
      </c>
      <c r="D245" t="s">
        <v>3220</v>
      </c>
      <c r="E245" t="s">
        <v>3221</v>
      </c>
      <c r="F245" t="s">
        <v>2565</v>
      </c>
      <c r="G245" t="s">
        <v>3222</v>
      </c>
    </row>
    <row r="246" spans="1:7" ht="11.25" customHeight="1">
      <c r="A246" t="s">
        <v>14</v>
      </c>
      <c r="B246" t="s">
        <v>3191</v>
      </c>
      <c r="C246" t="s">
        <v>3192</v>
      </c>
      <c r="D246" t="s">
        <v>3223</v>
      </c>
      <c r="E246" t="s">
        <v>3224</v>
      </c>
      <c r="F246" t="s">
        <v>2565</v>
      </c>
      <c r="G246" t="s">
        <v>3225</v>
      </c>
    </row>
    <row r="247" spans="1:7" ht="11.25" customHeight="1">
      <c r="A247" t="s">
        <v>14</v>
      </c>
      <c r="B247" t="s">
        <v>3191</v>
      </c>
      <c r="C247" t="s">
        <v>3192</v>
      </c>
      <c r="D247" t="s">
        <v>3226</v>
      </c>
      <c r="E247" t="s">
        <v>3227</v>
      </c>
      <c r="F247" t="s">
        <v>2565</v>
      </c>
      <c r="G247" t="s">
        <v>3228</v>
      </c>
    </row>
    <row r="248" spans="1:7" ht="11.25" customHeight="1">
      <c r="A248" t="s">
        <v>14</v>
      </c>
      <c r="B248" t="s">
        <v>3191</v>
      </c>
      <c r="C248" t="s">
        <v>3192</v>
      </c>
      <c r="D248" t="s">
        <v>3191</v>
      </c>
      <c r="E248" t="s">
        <v>3192</v>
      </c>
      <c r="F248" t="s">
        <v>2562</v>
      </c>
      <c r="G248" t="s">
        <v>3229</v>
      </c>
    </row>
    <row r="249" spans="1:7" ht="11.25" customHeight="1">
      <c r="A249" t="s">
        <v>14</v>
      </c>
      <c r="B249" t="s">
        <v>3191</v>
      </c>
      <c r="C249" t="s">
        <v>3192</v>
      </c>
      <c r="D249" t="s">
        <v>3230</v>
      </c>
      <c r="E249" t="s">
        <v>3231</v>
      </c>
      <c r="F249" t="s">
        <v>2565</v>
      </c>
      <c r="G249" t="s">
        <v>3232</v>
      </c>
    </row>
    <row r="250" spans="1:7" ht="11.25" customHeight="1">
      <c r="A250" t="s">
        <v>14</v>
      </c>
      <c r="B250" t="s">
        <v>3191</v>
      </c>
      <c r="C250" t="s">
        <v>3192</v>
      </c>
      <c r="D250" t="s">
        <v>3233</v>
      </c>
      <c r="E250" t="s">
        <v>3234</v>
      </c>
      <c r="F250" t="s">
        <v>2565</v>
      </c>
      <c r="G250" t="s">
        <v>3235</v>
      </c>
    </row>
    <row r="251" spans="1:7" ht="11.25" customHeight="1">
      <c r="A251" t="s">
        <v>14</v>
      </c>
      <c r="B251" t="s">
        <v>3191</v>
      </c>
      <c r="C251" t="s">
        <v>3192</v>
      </c>
      <c r="D251" t="s">
        <v>3236</v>
      </c>
      <c r="E251" t="s">
        <v>3237</v>
      </c>
      <c r="F251" t="s">
        <v>2565</v>
      </c>
      <c r="G251" t="s">
        <v>3238</v>
      </c>
    </row>
    <row r="252" spans="1:7" ht="11.25" customHeight="1">
      <c r="A252" t="s">
        <v>14</v>
      </c>
      <c r="B252" t="s">
        <v>3191</v>
      </c>
      <c r="C252" t="s">
        <v>3192</v>
      </c>
      <c r="D252" t="s">
        <v>3239</v>
      </c>
      <c r="E252" t="s">
        <v>3240</v>
      </c>
      <c r="F252" t="s">
        <v>2565</v>
      </c>
      <c r="G252" t="s">
        <v>3241</v>
      </c>
    </row>
    <row r="253" spans="1:7" ht="11.25" customHeight="1">
      <c r="A253" t="s">
        <v>14</v>
      </c>
      <c r="B253" t="s">
        <v>3191</v>
      </c>
      <c r="C253" t="s">
        <v>3192</v>
      </c>
      <c r="D253" t="s">
        <v>3242</v>
      </c>
      <c r="E253" t="s">
        <v>3243</v>
      </c>
      <c r="F253" t="s">
        <v>2608</v>
      </c>
      <c r="G253" t="s">
        <v>3244</v>
      </c>
    </row>
    <row r="254" spans="1:7" ht="11.25" customHeight="1">
      <c r="A254" t="s">
        <v>14</v>
      </c>
      <c r="B254" t="s">
        <v>3245</v>
      </c>
      <c r="C254" t="s">
        <v>3246</v>
      </c>
      <c r="D254" t="s">
        <v>3247</v>
      </c>
      <c r="E254" t="s">
        <v>3248</v>
      </c>
      <c r="F254" t="s">
        <v>2565</v>
      </c>
      <c r="G254" t="s">
        <v>3249</v>
      </c>
    </row>
    <row r="255" spans="1:7" ht="11.25" customHeight="1">
      <c r="A255" t="s">
        <v>14</v>
      </c>
      <c r="B255" t="s">
        <v>3245</v>
      </c>
      <c r="C255" t="s">
        <v>3246</v>
      </c>
      <c r="D255" t="s">
        <v>3250</v>
      </c>
      <c r="E255" t="s">
        <v>3251</v>
      </c>
      <c r="F255" t="s">
        <v>2565</v>
      </c>
      <c r="G255" t="s">
        <v>3252</v>
      </c>
    </row>
    <row r="256" spans="1:7" ht="11.25" customHeight="1">
      <c r="A256" t="s">
        <v>14</v>
      </c>
      <c r="B256" t="s">
        <v>3245</v>
      </c>
      <c r="C256" t="s">
        <v>3246</v>
      </c>
      <c r="D256" t="s">
        <v>3253</v>
      </c>
      <c r="E256" t="s">
        <v>3254</v>
      </c>
      <c r="F256" t="s">
        <v>2565</v>
      </c>
      <c r="G256" t="s">
        <v>3255</v>
      </c>
    </row>
    <row r="257" spans="1:7" ht="11.25" customHeight="1">
      <c r="A257" t="s">
        <v>14</v>
      </c>
      <c r="B257" t="s">
        <v>3245</v>
      </c>
      <c r="C257" t="s">
        <v>3246</v>
      </c>
      <c r="D257" t="s">
        <v>3256</v>
      </c>
      <c r="E257" t="s">
        <v>3257</v>
      </c>
      <c r="F257" t="s">
        <v>2565</v>
      </c>
      <c r="G257" t="s">
        <v>3258</v>
      </c>
    </row>
    <row r="258" spans="1:7" ht="11.25" customHeight="1">
      <c r="A258" t="s">
        <v>14</v>
      </c>
      <c r="B258" t="s">
        <v>3245</v>
      </c>
      <c r="C258" t="s">
        <v>3246</v>
      </c>
      <c r="D258" t="s">
        <v>3259</v>
      </c>
      <c r="E258" t="s">
        <v>3260</v>
      </c>
      <c r="F258" t="s">
        <v>2565</v>
      </c>
      <c r="G258" t="s">
        <v>3261</v>
      </c>
    </row>
    <row r="259" spans="1:7" ht="11.25" customHeight="1">
      <c r="A259" t="s">
        <v>14</v>
      </c>
      <c r="B259" t="s">
        <v>3245</v>
      </c>
      <c r="C259" t="s">
        <v>3246</v>
      </c>
      <c r="D259" t="s">
        <v>3262</v>
      </c>
      <c r="E259" t="s">
        <v>3263</v>
      </c>
      <c r="F259" t="s">
        <v>2565</v>
      </c>
      <c r="G259" t="s">
        <v>3264</v>
      </c>
    </row>
    <row r="260" spans="1:7" ht="11.25" customHeight="1">
      <c r="A260" t="s">
        <v>14</v>
      </c>
      <c r="B260" t="s">
        <v>3245</v>
      </c>
      <c r="C260" t="s">
        <v>3246</v>
      </c>
      <c r="D260" t="s">
        <v>3265</v>
      </c>
      <c r="E260" t="s">
        <v>3266</v>
      </c>
      <c r="F260" t="s">
        <v>2565</v>
      </c>
      <c r="G260" t="s">
        <v>3267</v>
      </c>
    </row>
    <row r="261" spans="1:7" ht="11.25" customHeight="1">
      <c r="A261" t="s">
        <v>14</v>
      </c>
      <c r="B261" t="s">
        <v>3245</v>
      </c>
      <c r="C261" t="s">
        <v>3246</v>
      </c>
      <c r="D261" t="s">
        <v>3268</v>
      </c>
      <c r="E261" t="s">
        <v>3269</v>
      </c>
      <c r="F261" t="s">
        <v>2565</v>
      </c>
      <c r="G261" t="s">
        <v>3270</v>
      </c>
    </row>
    <row r="262" spans="1:7" ht="11.25" customHeight="1">
      <c r="A262" t="s">
        <v>14</v>
      </c>
      <c r="B262" t="s">
        <v>3245</v>
      </c>
      <c r="C262" t="s">
        <v>3246</v>
      </c>
      <c r="D262" t="s">
        <v>3245</v>
      </c>
      <c r="E262" t="s">
        <v>3246</v>
      </c>
      <c r="F262" t="s">
        <v>2562</v>
      </c>
      <c r="G262" t="s">
        <v>3271</v>
      </c>
    </row>
    <row r="263" spans="1:7" ht="11.25" customHeight="1">
      <c r="A263" t="s">
        <v>14</v>
      </c>
      <c r="B263" t="s">
        <v>3245</v>
      </c>
      <c r="C263" t="s">
        <v>3246</v>
      </c>
      <c r="D263" t="s">
        <v>3272</v>
      </c>
      <c r="E263" t="s">
        <v>3273</v>
      </c>
      <c r="F263" t="s">
        <v>2565</v>
      </c>
      <c r="G263" t="s">
        <v>3274</v>
      </c>
    </row>
    <row r="264" spans="1:7" ht="11.25" customHeight="1">
      <c r="A264" t="s">
        <v>14</v>
      </c>
      <c r="B264" t="s">
        <v>3245</v>
      </c>
      <c r="C264" t="s">
        <v>3246</v>
      </c>
      <c r="D264" t="s">
        <v>3275</v>
      </c>
      <c r="E264" t="s">
        <v>3276</v>
      </c>
      <c r="F264" t="s">
        <v>2565</v>
      </c>
      <c r="G264" t="s">
        <v>3277</v>
      </c>
    </row>
    <row r="265" spans="1:7" ht="11.25" customHeight="1">
      <c r="A265" t="s">
        <v>14</v>
      </c>
      <c r="B265" t="s">
        <v>3245</v>
      </c>
      <c r="C265" t="s">
        <v>3246</v>
      </c>
      <c r="D265" t="s">
        <v>3278</v>
      </c>
      <c r="E265" t="s">
        <v>3279</v>
      </c>
      <c r="F265" t="s">
        <v>2565</v>
      </c>
      <c r="G265" t="s">
        <v>3280</v>
      </c>
    </row>
    <row r="266" spans="1:7" ht="11.25" customHeight="1">
      <c r="A266" t="s">
        <v>14</v>
      </c>
      <c r="B266" t="s">
        <v>3245</v>
      </c>
      <c r="C266" t="s">
        <v>3246</v>
      </c>
      <c r="D266" t="s">
        <v>3281</v>
      </c>
      <c r="E266" t="s">
        <v>3282</v>
      </c>
      <c r="F266" t="s">
        <v>2608</v>
      </c>
      <c r="G266" t="s">
        <v>3283</v>
      </c>
    </row>
    <row r="267" spans="1:7" ht="11.25" customHeight="1">
      <c r="A267" t="s">
        <v>14</v>
      </c>
      <c r="B267" t="s">
        <v>3245</v>
      </c>
      <c r="C267" t="s">
        <v>3246</v>
      </c>
      <c r="D267" t="s">
        <v>3284</v>
      </c>
      <c r="E267" t="s">
        <v>3285</v>
      </c>
      <c r="F267" t="s">
        <v>2608</v>
      </c>
      <c r="G267" t="s">
        <v>3286</v>
      </c>
    </row>
    <row r="268" spans="1:7" ht="11.25" customHeight="1">
      <c r="A268" t="s">
        <v>14</v>
      </c>
      <c r="B268" t="s">
        <v>3287</v>
      </c>
      <c r="C268" t="s">
        <v>3288</v>
      </c>
      <c r="D268" t="s">
        <v>3289</v>
      </c>
      <c r="E268" t="s">
        <v>3290</v>
      </c>
      <c r="F268" t="s">
        <v>2565</v>
      </c>
      <c r="G268" t="s">
        <v>3291</v>
      </c>
    </row>
    <row r="269" spans="1:7" ht="11.25" customHeight="1">
      <c r="A269" t="s">
        <v>14</v>
      </c>
      <c r="B269" t="s">
        <v>3287</v>
      </c>
      <c r="C269" t="s">
        <v>3288</v>
      </c>
      <c r="D269" t="s">
        <v>3292</v>
      </c>
      <c r="E269" t="s">
        <v>3293</v>
      </c>
      <c r="F269" t="s">
        <v>2565</v>
      </c>
      <c r="G269" t="s">
        <v>3294</v>
      </c>
    </row>
    <row r="270" spans="1:7" ht="11.25" customHeight="1">
      <c r="A270" t="s">
        <v>14</v>
      </c>
      <c r="B270" t="s">
        <v>3287</v>
      </c>
      <c r="C270" t="s">
        <v>3288</v>
      </c>
      <c r="D270" t="s">
        <v>3295</v>
      </c>
      <c r="E270" t="s">
        <v>3296</v>
      </c>
      <c r="F270" t="s">
        <v>2565</v>
      </c>
      <c r="G270" t="s">
        <v>3297</v>
      </c>
    </row>
    <row r="271" spans="1:7" ht="11.25" customHeight="1">
      <c r="A271" t="s">
        <v>14</v>
      </c>
      <c r="B271" t="s">
        <v>3287</v>
      </c>
      <c r="C271" t="s">
        <v>3288</v>
      </c>
      <c r="D271" t="s">
        <v>3298</v>
      </c>
      <c r="E271" t="s">
        <v>3299</v>
      </c>
      <c r="F271" t="s">
        <v>2565</v>
      </c>
      <c r="G271" t="s">
        <v>3300</v>
      </c>
    </row>
    <row r="272" spans="1:7" ht="11.25" customHeight="1">
      <c r="A272" t="s">
        <v>14</v>
      </c>
      <c r="B272" t="s">
        <v>3287</v>
      </c>
      <c r="C272" t="s">
        <v>3288</v>
      </c>
      <c r="D272" t="s">
        <v>3301</v>
      </c>
      <c r="E272" t="s">
        <v>3302</v>
      </c>
      <c r="F272" t="s">
        <v>2565</v>
      </c>
      <c r="G272" t="s">
        <v>3303</v>
      </c>
    </row>
    <row r="273" spans="1:7" ht="11.25" customHeight="1">
      <c r="A273" t="s">
        <v>14</v>
      </c>
      <c r="B273" t="s">
        <v>3287</v>
      </c>
      <c r="C273" t="s">
        <v>3288</v>
      </c>
      <c r="D273" t="s">
        <v>3304</v>
      </c>
      <c r="E273" t="s">
        <v>3305</v>
      </c>
      <c r="F273" t="s">
        <v>2565</v>
      </c>
      <c r="G273" t="s">
        <v>3306</v>
      </c>
    </row>
    <row r="274" spans="1:7" ht="11.25" customHeight="1">
      <c r="A274" t="s">
        <v>14</v>
      </c>
      <c r="B274" t="s">
        <v>3287</v>
      </c>
      <c r="C274" t="s">
        <v>3288</v>
      </c>
      <c r="D274" t="s">
        <v>3307</v>
      </c>
      <c r="E274" t="s">
        <v>3308</v>
      </c>
      <c r="F274" t="s">
        <v>2565</v>
      </c>
      <c r="G274" t="s">
        <v>3309</v>
      </c>
    </row>
    <row r="275" spans="1:7" ht="11.25" customHeight="1">
      <c r="A275" t="s">
        <v>14</v>
      </c>
      <c r="B275" t="s">
        <v>3287</v>
      </c>
      <c r="C275" t="s">
        <v>3288</v>
      </c>
      <c r="D275" t="s">
        <v>3310</v>
      </c>
      <c r="E275" t="s">
        <v>3311</v>
      </c>
      <c r="F275" t="s">
        <v>2565</v>
      </c>
      <c r="G275" t="s">
        <v>3312</v>
      </c>
    </row>
    <row r="276" spans="1:7" ht="11.25" customHeight="1">
      <c r="A276" t="s">
        <v>14</v>
      </c>
      <c r="B276" t="s">
        <v>3287</v>
      </c>
      <c r="C276" t="s">
        <v>3288</v>
      </c>
      <c r="D276" t="s">
        <v>3313</v>
      </c>
      <c r="E276" t="s">
        <v>3314</v>
      </c>
      <c r="F276" t="s">
        <v>2565</v>
      </c>
      <c r="G276" t="s">
        <v>3315</v>
      </c>
    </row>
    <row r="277" spans="1:7" ht="11.25" customHeight="1">
      <c r="A277" t="s">
        <v>14</v>
      </c>
      <c r="B277" t="s">
        <v>3287</v>
      </c>
      <c r="C277" t="s">
        <v>3288</v>
      </c>
      <c r="D277" t="s">
        <v>3287</v>
      </c>
      <c r="E277" t="s">
        <v>3288</v>
      </c>
      <c r="F277" t="s">
        <v>2562</v>
      </c>
      <c r="G277" t="s">
        <v>3316</v>
      </c>
    </row>
    <row r="278" spans="1:7" ht="11.25" customHeight="1">
      <c r="A278" t="s">
        <v>14</v>
      </c>
      <c r="B278" t="s">
        <v>3287</v>
      </c>
      <c r="C278" t="s">
        <v>3288</v>
      </c>
      <c r="D278" t="s">
        <v>3317</v>
      </c>
      <c r="E278" t="s">
        <v>3318</v>
      </c>
      <c r="F278" t="s">
        <v>2565</v>
      </c>
      <c r="G278" t="s">
        <v>3319</v>
      </c>
    </row>
    <row r="279" spans="1:7" ht="11.25" customHeight="1">
      <c r="A279" t="s">
        <v>14</v>
      </c>
      <c r="B279" t="s">
        <v>3287</v>
      </c>
      <c r="C279" t="s">
        <v>3288</v>
      </c>
      <c r="D279" t="s">
        <v>3320</v>
      </c>
      <c r="E279" t="s">
        <v>3321</v>
      </c>
      <c r="F279" t="s">
        <v>2565</v>
      </c>
      <c r="G279" t="s">
        <v>3322</v>
      </c>
    </row>
    <row r="280" spans="1:7" ht="11.25" customHeight="1">
      <c r="A280" t="s">
        <v>14</v>
      </c>
      <c r="B280" t="s">
        <v>3287</v>
      </c>
      <c r="C280" t="s">
        <v>3288</v>
      </c>
      <c r="D280" t="s">
        <v>3323</v>
      </c>
      <c r="E280" t="s">
        <v>3324</v>
      </c>
      <c r="F280" t="s">
        <v>2608</v>
      </c>
      <c r="G280" t="s">
        <v>3325</v>
      </c>
    </row>
    <row r="281" spans="1:7" ht="11.25" customHeight="1">
      <c r="A281" t="s">
        <v>14</v>
      </c>
      <c r="B281" t="s">
        <v>100</v>
      </c>
      <c r="C281" t="s">
        <v>101</v>
      </c>
      <c r="D281" t="s">
        <v>100</v>
      </c>
      <c r="E281" t="s">
        <v>101</v>
      </c>
      <c r="F281" t="s">
        <v>2559</v>
      </c>
      <c r="G281" t="s">
        <v>99</v>
      </c>
    </row>
    <row r="282" spans="1:7" ht="11.25" customHeight="1">
      <c r="A282" t="s">
        <v>14</v>
      </c>
      <c r="B282" t="s">
        <v>3326</v>
      </c>
      <c r="C282" t="s">
        <v>3327</v>
      </c>
      <c r="D282" t="s">
        <v>3328</v>
      </c>
      <c r="E282" t="s">
        <v>3329</v>
      </c>
      <c r="F282" t="s">
        <v>2565</v>
      </c>
      <c r="G282" t="s">
        <v>3330</v>
      </c>
    </row>
    <row r="283" spans="1:7" ht="11.25" customHeight="1">
      <c r="A283" t="s">
        <v>14</v>
      </c>
      <c r="B283" t="s">
        <v>3326</v>
      </c>
      <c r="C283" t="s">
        <v>3327</v>
      </c>
      <c r="D283" t="s">
        <v>3331</v>
      </c>
      <c r="E283" t="s">
        <v>3332</v>
      </c>
      <c r="F283" t="s">
        <v>2565</v>
      </c>
      <c r="G283" t="s">
        <v>3333</v>
      </c>
    </row>
    <row r="284" spans="1:7" ht="11.25" customHeight="1">
      <c r="A284" t="s">
        <v>14</v>
      </c>
      <c r="B284" t="s">
        <v>3326</v>
      </c>
      <c r="C284" t="s">
        <v>3327</v>
      </c>
      <c r="D284" t="s">
        <v>3334</v>
      </c>
      <c r="E284" t="s">
        <v>3335</v>
      </c>
      <c r="F284" t="s">
        <v>2565</v>
      </c>
      <c r="G284" t="s">
        <v>3336</v>
      </c>
    </row>
    <row r="285" spans="1:7" ht="11.25" customHeight="1">
      <c r="A285" t="s">
        <v>14</v>
      </c>
      <c r="B285" t="s">
        <v>3326</v>
      </c>
      <c r="C285" t="s">
        <v>3327</v>
      </c>
      <c r="D285" t="s">
        <v>3337</v>
      </c>
      <c r="E285" t="s">
        <v>3338</v>
      </c>
      <c r="F285" t="s">
        <v>2565</v>
      </c>
      <c r="G285" t="s">
        <v>3339</v>
      </c>
    </row>
    <row r="286" spans="1:7" ht="11.25" customHeight="1">
      <c r="A286" t="s">
        <v>14</v>
      </c>
      <c r="B286" t="s">
        <v>3326</v>
      </c>
      <c r="C286" t="s">
        <v>3327</v>
      </c>
      <c r="D286" t="s">
        <v>3340</v>
      </c>
      <c r="E286" t="s">
        <v>3341</v>
      </c>
      <c r="F286" t="s">
        <v>2565</v>
      </c>
      <c r="G286" t="s">
        <v>3342</v>
      </c>
    </row>
    <row r="287" spans="1:7" ht="11.25" customHeight="1">
      <c r="A287" t="s">
        <v>14</v>
      </c>
      <c r="B287" t="s">
        <v>3326</v>
      </c>
      <c r="C287" t="s">
        <v>3327</v>
      </c>
      <c r="D287" t="s">
        <v>3343</v>
      </c>
      <c r="E287" t="s">
        <v>3344</v>
      </c>
      <c r="F287" t="s">
        <v>2565</v>
      </c>
      <c r="G287" t="s">
        <v>3345</v>
      </c>
    </row>
    <row r="288" spans="1:7" ht="11.25" customHeight="1">
      <c r="A288" t="s">
        <v>14</v>
      </c>
      <c r="B288" t="s">
        <v>3326</v>
      </c>
      <c r="C288" t="s">
        <v>3327</v>
      </c>
      <c r="D288" t="s">
        <v>3346</v>
      </c>
      <c r="E288" t="s">
        <v>3347</v>
      </c>
      <c r="F288" t="s">
        <v>2565</v>
      </c>
      <c r="G288" t="s">
        <v>3348</v>
      </c>
    </row>
    <row r="289" spans="1:7" ht="11.25" customHeight="1">
      <c r="A289" t="s">
        <v>14</v>
      </c>
      <c r="B289" t="s">
        <v>3326</v>
      </c>
      <c r="C289" t="s">
        <v>3327</v>
      </c>
      <c r="D289" t="s">
        <v>3349</v>
      </c>
      <c r="E289" t="s">
        <v>3350</v>
      </c>
      <c r="F289" t="s">
        <v>2565</v>
      </c>
      <c r="G289" t="s">
        <v>3351</v>
      </c>
    </row>
    <row r="290" spans="1:7" ht="11.25" customHeight="1">
      <c r="A290" t="s">
        <v>14</v>
      </c>
      <c r="B290" t="s">
        <v>3326</v>
      </c>
      <c r="C290" t="s">
        <v>3327</v>
      </c>
      <c r="D290" t="s">
        <v>3352</v>
      </c>
      <c r="E290" t="s">
        <v>3353</v>
      </c>
      <c r="F290" t="s">
        <v>2565</v>
      </c>
      <c r="G290" t="s">
        <v>3354</v>
      </c>
    </row>
    <row r="291" spans="1:7" ht="11.25" customHeight="1">
      <c r="A291" t="s">
        <v>14</v>
      </c>
      <c r="B291" t="s">
        <v>3326</v>
      </c>
      <c r="C291" t="s">
        <v>3327</v>
      </c>
      <c r="D291" t="s">
        <v>3355</v>
      </c>
      <c r="E291" t="s">
        <v>3356</v>
      </c>
      <c r="F291" t="s">
        <v>2565</v>
      </c>
      <c r="G291" t="s">
        <v>3357</v>
      </c>
    </row>
    <row r="292" spans="1:7" ht="11.25" customHeight="1">
      <c r="A292" t="s">
        <v>14</v>
      </c>
      <c r="B292" t="s">
        <v>3326</v>
      </c>
      <c r="C292" t="s">
        <v>3327</v>
      </c>
      <c r="D292" t="s">
        <v>3358</v>
      </c>
      <c r="E292" t="s">
        <v>3359</v>
      </c>
      <c r="F292" t="s">
        <v>2565</v>
      </c>
      <c r="G292" t="s">
        <v>3360</v>
      </c>
    </row>
    <row r="293" spans="1:7" ht="11.25" customHeight="1">
      <c r="A293" t="s">
        <v>14</v>
      </c>
      <c r="B293" t="s">
        <v>3326</v>
      </c>
      <c r="C293" t="s">
        <v>3327</v>
      </c>
      <c r="D293" t="s">
        <v>3361</v>
      </c>
      <c r="E293" t="s">
        <v>3362</v>
      </c>
      <c r="F293" t="s">
        <v>2565</v>
      </c>
      <c r="G293" t="s">
        <v>3363</v>
      </c>
    </row>
    <row r="294" spans="1:7" ht="11.25" customHeight="1">
      <c r="A294" t="s">
        <v>14</v>
      </c>
      <c r="B294" t="s">
        <v>3326</v>
      </c>
      <c r="C294" t="s">
        <v>3327</v>
      </c>
      <c r="D294" t="s">
        <v>3364</v>
      </c>
      <c r="E294" t="s">
        <v>3365</v>
      </c>
      <c r="F294" t="s">
        <v>2565</v>
      </c>
      <c r="G294" t="s">
        <v>3366</v>
      </c>
    </row>
    <row r="295" spans="1:7" ht="11.25" customHeight="1">
      <c r="A295" t="s">
        <v>14</v>
      </c>
      <c r="B295" t="s">
        <v>3326</v>
      </c>
      <c r="C295" t="s">
        <v>3327</v>
      </c>
      <c r="D295" t="s">
        <v>3367</v>
      </c>
      <c r="E295" t="s">
        <v>3368</v>
      </c>
      <c r="F295" t="s">
        <v>2565</v>
      </c>
      <c r="G295" t="s">
        <v>3369</v>
      </c>
    </row>
    <row r="296" spans="1:7" ht="11.25" customHeight="1">
      <c r="A296" t="s">
        <v>14</v>
      </c>
      <c r="B296" t="s">
        <v>3326</v>
      </c>
      <c r="C296" t="s">
        <v>3327</v>
      </c>
      <c r="D296" t="s">
        <v>3370</v>
      </c>
      <c r="E296" t="s">
        <v>3371</v>
      </c>
      <c r="F296" t="s">
        <v>2565</v>
      </c>
      <c r="G296" t="s">
        <v>3372</v>
      </c>
    </row>
    <row r="297" spans="1:7" ht="11.25" customHeight="1">
      <c r="A297" t="s">
        <v>14</v>
      </c>
      <c r="B297" t="s">
        <v>3326</v>
      </c>
      <c r="C297" t="s">
        <v>3327</v>
      </c>
      <c r="D297" t="s">
        <v>3326</v>
      </c>
      <c r="E297" t="s">
        <v>3327</v>
      </c>
      <c r="F297" t="s">
        <v>2562</v>
      </c>
      <c r="G297" t="s">
        <v>3373</v>
      </c>
    </row>
    <row r="298" spans="1:7" ht="11.25" customHeight="1">
      <c r="A298" t="s">
        <v>14</v>
      </c>
      <c r="B298" t="s">
        <v>3326</v>
      </c>
      <c r="C298" t="s">
        <v>3327</v>
      </c>
      <c r="D298" t="s">
        <v>3374</v>
      </c>
      <c r="E298" t="s">
        <v>3375</v>
      </c>
      <c r="F298" t="s">
        <v>2608</v>
      </c>
      <c r="G298" t="s">
        <v>3376</v>
      </c>
    </row>
    <row r="299" spans="1:7" ht="11.25" customHeight="1">
      <c r="A299" t="s">
        <v>14</v>
      </c>
      <c r="B299" t="s">
        <v>3377</v>
      </c>
      <c r="C299" t="s">
        <v>3378</v>
      </c>
      <c r="D299" t="s">
        <v>3377</v>
      </c>
      <c r="E299" t="s">
        <v>3378</v>
      </c>
      <c r="F299" t="s">
        <v>2559</v>
      </c>
      <c r="G299" t="s">
        <v>3379</v>
      </c>
    </row>
    <row r="300" spans="1:7" ht="11.25" customHeight="1">
      <c r="A300" t="s">
        <v>14</v>
      </c>
      <c r="B300" t="s">
        <v>3380</v>
      </c>
      <c r="C300" t="s">
        <v>3381</v>
      </c>
      <c r="D300" t="s">
        <v>3380</v>
      </c>
      <c r="E300" t="s">
        <v>3381</v>
      </c>
      <c r="F300" t="s">
        <v>2559</v>
      </c>
      <c r="G300" t="s">
        <v>3382</v>
      </c>
    </row>
    <row r="301" spans="1:7" ht="11.25" customHeight="1">
      <c r="A301" t="s">
        <v>14</v>
      </c>
      <c r="B301" t="s">
        <v>3383</v>
      </c>
      <c r="C301" t="s">
        <v>3384</v>
      </c>
      <c r="D301" t="s">
        <v>2796</v>
      </c>
      <c r="E301" t="s">
        <v>3385</v>
      </c>
      <c r="F301" t="s">
        <v>2565</v>
      </c>
      <c r="G301" t="s">
        <v>3386</v>
      </c>
    </row>
    <row r="302" spans="1:7" ht="11.25" customHeight="1">
      <c r="A302" t="s">
        <v>14</v>
      </c>
      <c r="B302" t="s">
        <v>3383</v>
      </c>
      <c r="C302" t="s">
        <v>3384</v>
      </c>
      <c r="D302" t="s">
        <v>3387</v>
      </c>
      <c r="E302" t="s">
        <v>3388</v>
      </c>
      <c r="F302" t="s">
        <v>2565</v>
      </c>
      <c r="G302" t="s">
        <v>3389</v>
      </c>
    </row>
    <row r="303" spans="1:7" ht="11.25" customHeight="1">
      <c r="A303" t="s">
        <v>14</v>
      </c>
      <c r="B303" t="s">
        <v>3383</v>
      </c>
      <c r="C303" t="s">
        <v>3384</v>
      </c>
      <c r="D303" t="s">
        <v>3390</v>
      </c>
      <c r="E303" t="s">
        <v>3391</v>
      </c>
      <c r="F303" t="s">
        <v>2565</v>
      </c>
      <c r="G303" t="s">
        <v>3392</v>
      </c>
    </row>
    <row r="304" spans="1:7" ht="11.25" customHeight="1">
      <c r="A304" t="s">
        <v>14</v>
      </c>
      <c r="B304" t="s">
        <v>3383</v>
      </c>
      <c r="C304" t="s">
        <v>3384</v>
      </c>
      <c r="D304" t="s">
        <v>3393</v>
      </c>
      <c r="E304" t="s">
        <v>3394</v>
      </c>
      <c r="F304" t="s">
        <v>2565</v>
      </c>
      <c r="G304" t="s">
        <v>3395</v>
      </c>
    </row>
    <row r="305" spans="1:7" ht="11.25" customHeight="1">
      <c r="A305" t="s">
        <v>14</v>
      </c>
      <c r="B305" t="s">
        <v>3383</v>
      </c>
      <c r="C305" t="s">
        <v>3384</v>
      </c>
      <c r="D305" t="s">
        <v>3259</v>
      </c>
      <c r="E305" t="s">
        <v>3396</v>
      </c>
      <c r="F305" t="s">
        <v>2565</v>
      </c>
      <c r="G305" t="s">
        <v>3397</v>
      </c>
    </row>
    <row r="306" spans="1:7" ht="11.25" customHeight="1">
      <c r="A306" t="s">
        <v>14</v>
      </c>
      <c r="B306" t="s">
        <v>3383</v>
      </c>
      <c r="C306" t="s">
        <v>3384</v>
      </c>
      <c r="D306" t="s">
        <v>3398</v>
      </c>
      <c r="E306" t="s">
        <v>3399</v>
      </c>
      <c r="F306" t="s">
        <v>2565</v>
      </c>
      <c r="G306" t="s">
        <v>3400</v>
      </c>
    </row>
    <row r="307" spans="1:7" ht="11.25" customHeight="1">
      <c r="A307" t="s">
        <v>14</v>
      </c>
      <c r="B307" t="s">
        <v>3383</v>
      </c>
      <c r="C307" t="s">
        <v>3384</v>
      </c>
      <c r="D307" t="s">
        <v>3401</v>
      </c>
      <c r="E307" t="s">
        <v>3402</v>
      </c>
      <c r="F307" t="s">
        <v>2565</v>
      </c>
      <c r="G307" t="s">
        <v>3403</v>
      </c>
    </row>
    <row r="308" spans="1:7" ht="11.25" customHeight="1">
      <c r="A308" t="s">
        <v>14</v>
      </c>
      <c r="B308" t="s">
        <v>3383</v>
      </c>
      <c r="C308" t="s">
        <v>3384</v>
      </c>
      <c r="D308" t="s">
        <v>3404</v>
      </c>
      <c r="E308" t="s">
        <v>3405</v>
      </c>
      <c r="F308" t="s">
        <v>2565</v>
      </c>
      <c r="G308" t="s">
        <v>3406</v>
      </c>
    </row>
    <row r="309" spans="1:7" ht="11.25" customHeight="1">
      <c r="A309" t="s">
        <v>14</v>
      </c>
      <c r="B309" t="s">
        <v>3383</v>
      </c>
      <c r="C309" t="s">
        <v>3384</v>
      </c>
      <c r="D309" t="s">
        <v>3407</v>
      </c>
      <c r="E309" t="s">
        <v>3408</v>
      </c>
      <c r="F309" t="s">
        <v>2565</v>
      </c>
      <c r="G309" t="s">
        <v>3409</v>
      </c>
    </row>
    <row r="310" spans="1:7" ht="11.25" customHeight="1">
      <c r="A310" t="s">
        <v>14</v>
      </c>
      <c r="B310" t="s">
        <v>3383</v>
      </c>
      <c r="C310" t="s">
        <v>3384</v>
      </c>
      <c r="D310" t="s">
        <v>3410</v>
      </c>
      <c r="E310" t="s">
        <v>3411</v>
      </c>
      <c r="F310" t="s">
        <v>2565</v>
      </c>
      <c r="G310" t="s">
        <v>3412</v>
      </c>
    </row>
    <row r="311" spans="1:7" ht="11.25" customHeight="1">
      <c r="A311" t="s">
        <v>14</v>
      </c>
      <c r="B311" t="s">
        <v>3383</v>
      </c>
      <c r="C311" t="s">
        <v>3384</v>
      </c>
      <c r="D311" t="s">
        <v>3413</v>
      </c>
      <c r="E311" t="s">
        <v>3414</v>
      </c>
      <c r="F311" t="s">
        <v>2565</v>
      </c>
      <c r="G311" t="s">
        <v>3415</v>
      </c>
    </row>
    <row r="312" spans="1:7" ht="11.25" customHeight="1">
      <c r="A312" t="s">
        <v>14</v>
      </c>
      <c r="B312" t="s">
        <v>3383</v>
      </c>
      <c r="C312" t="s">
        <v>3384</v>
      </c>
      <c r="D312" t="s">
        <v>2737</v>
      </c>
      <c r="E312" t="s">
        <v>3416</v>
      </c>
      <c r="F312" t="s">
        <v>2565</v>
      </c>
      <c r="G312" t="s">
        <v>3417</v>
      </c>
    </row>
    <row r="313" spans="1:7" ht="11.25" customHeight="1">
      <c r="A313" t="s">
        <v>14</v>
      </c>
      <c r="B313" t="s">
        <v>3383</v>
      </c>
      <c r="C313" t="s">
        <v>3384</v>
      </c>
      <c r="D313" t="s">
        <v>2596</v>
      </c>
      <c r="E313" t="s">
        <v>3418</v>
      </c>
      <c r="F313" t="s">
        <v>2565</v>
      </c>
      <c r="G313" t="s">
        <v>3419</v>
      </c>
    </row>
    <row r="314" spans="1:7" ht="11.25" customHeight="1">
      <c r="A314" t="s">
        <v>14</v>
      </c>
      <c r="B314" t="s">
        <v>3383</v>
      </c>
      <c r="C314" t="s">
        <v>3384</v>
      </c>
      <c r="D314" t="s">
        <v>3420</v>
      </c>
      <c r="E314" t="s">
        <v>3421</v>
      </c>
      <c r="F314" t="s">
        <v>2565</v>
      </c>
      <c r="G314" t="s">
        <v>3422</v>
      </c>
    </row>
    <row r="315" spans="1:7" ht="11.25" customHeight="1">
      <c r="A315" t="s">
        <v>14</v>
      </c>
      <c r="B315" t="s">
        <v>3383</v>
      </c>
      <c r="C315" t="s">
        <v>3384</v>
      </c>
      <c r="D315" t="s">
        <v>3383</v>
      </c>
      <c r="E315" t="s">
        <v>3384</v>
      </c>
      <c r="F315" t="s">
        <v>2562</v>
      </c>
      <c r="G315" t="s">
        <v>3423</v>
      </c>
    </row>
    <row r="316" spans="1:7" ht="11.25" customHeight="1">
      <c r="A316" t="s">
        <v>14</v>
      </c>
      <c r="B316" t="s">
        <v>3383</v>
      </c>
      <c r="C316" t="s">
        <v>3384</v>
      </c>
      <c r="D316" t="s">
        <v>3424</v>
      </c>
      <c r="E316" t="s">
        <v>3425</v>
      </c>
      <c r="F316" t="s">
        <v>2742</v>
      </c>
      <c r="G316" t="s">
        <v>3426</v>
      </c>
    </row>
    <row r="317" spans="1:7" ht="11.25" customHeight="1">
      <c r="A317" t="s">
        <v>14</v>
      </c>
      <c r="B317" t="s">
        <v>3383</v>
      </c>
      <c r="C317" t="s">
        <v>3384</v>
      </c>
      <c r="D317" t="s">
        <v>3427</v>
      </c>
      <c r="E317" t="s">
        <v>3428</v>
      </c>
      <c r="F317" t="s">
        <v>2608</v>
      </c>
      <c r="G317" t="s">
        <v>3429</v>
      </c>
    </row>
    <row r="318" spans="1:7" ht="11.25" customHeight="1">
      <c r="A318" t="s">
        <v>14</v>
      </c>
      <c r="B318" t="s">
        <v>3383</v>
      </c>
      <c r="C318" t="s">
        <v>3384</v>
      </c>
      <c r="D318" t="s">
        <v>3430</v>
      </c>
      <c r="E318" t="s">
        <v>3431</v>
      </c>
      <c r="F318" t="s">
        <v>2608</v>
      </c>
      <c r="G318" t="s">
        <v>3432</v>
      </c>
    </row>
    <row r="319" spans="1:7" ht="11.25" customHeight="1">
      <c r="A319" t="s">
        <v>14</v>
      </c>
      <c r="B319" t="s">
        <v>3433</v>
      </c>
      <c r="C319" t="s">
        <v>3434</v>
      </c>
      <c r="D319" t="s">
        <v>3433</v>
      </c>
      <c r="E319" t="s">
        <v>3434</v>
      </c>
      <c r="F319" t="s">
        <v>2559</v>
      </c>
      <c r="G319" t="s">
        <v>3435</v>
      </c>
    </row>
  </sheetData>
  <sheetProtection insertRows="0" deleteColumns="0" deleteRows="0" sort="0" autoFilter="0"/>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1:D11"/>
  <sheetViews>
    <sheetView showGridLines="0" workbookViewId="0"/>
  </sheetViews>
  <sheetFormatPr defaultColWidth="9.140625" defaultRowHeight="11.25" customHeight="1"/>
  <cols>
    <col min="1" max="4" width="9.140625" style="1607"/>
  </cols>
  <sheetData>
    <row r="1" spans="1:4" ht="11.25" customHeight="1">
      <c r="A1" s="748" t="s">
        <v>3436</v>
      </c>
      <c r="B1" s="748" t="s">
        <v>3437</v>
      </c>
      <c r="C1" s="748" t="s">
        <v>3438</v>
      </c>
      <c r="D1" s="748" t="s">
        <v>3439</v>
      </c>
    </row>
    <row r="2" spans="1:4" ht="11.25" customHeight="1">
      <c r="A2" s="1607" t="s">
        <v>109</v>
      </c>
      <c r="B2" s="1607" t="s">
        <v>3440</v>
      </c>
      <c r="C2" s="1607" t="s">
        <v>3441</v>
      </c>
      <c r="D2" s="1607" t="s">
        <v>3442</v>
      </c>
    </row>
    <row r="3" spans="1:4" ht="11.25" customHeight="1">
      <c r="A3" s="1607" t="s">
        <v>110</v>
      </c>
      <c r="B3" s="1607" t="s">
        <v>3443</v>
      </c>
      <c r="C3" s="1607" t="s">
        <v>3441</v>
      </c>
      <c r="D3" s="1607" t="s">
        <v>3442</v>
      </c>
    </row>
    <row r="4" spans="1:4" ht="11.25" customHeight="1">
      <c r="A4" s="1607" t="s">
        <v>90</v>
      </c>
      <c r="B4" s="1607" t="s">
        <v>3444</v>
      </c>
      <c r="C4" s="1607" t="s">
        <v>3445</v>
      </c>
      <c r="D4" s="1607" t="s">
        <v>3446</v>
      </c>
    </row>
    <row r="5" spans="1:4" ht="11.25" customHeight="1">
      <c r="A5" s="1607" t="s">
        <v>91</v>
      </c>
      <c r="B5" s="1607" t="s">
        <v>3447</v>
      </c>
      <c r="C5" s="1607" t="s">
        <v>3448</v>
      </c>
      <c r="D5" s="1607" t="s">
        <v>3446</v>
      </c>
    </row>
    <row r="6" spans="1:4" ht="11.25" customHeight="1">
      <c r="A6" s="1607" t="s">
        <v>111</v>
      </c>
      <c r="B6" s="1607" t="s">
        <v>3447</v>
      </c>
      <c r="C6" s="1607" t="s">
        <v>3448</v>
      </c>
      <c r="D6" s="1607" t="s">
        <v>3446</v>
      </c>
    </row>
    <row r="7" spans="1:4" ht="11.25" customHeight="1">
      <c r="A7" s="1607" t="s">
        <v>92</v>
      </c>
      <c r="B7" s="1607" t="s">
        <v>3449</v>
      </c>
      <c r="C7" s="1607" t="s">
        <v>3448</v>
      </c>
      <c r="D7" s="1607" t="s">
        <v>3450</v>
      </c>
    </row>
    <row r="8" spans="1:4" ht="11.25" customHeight="1">
      <c r="A8" s="1607" t="s">
        <v>93</v>
      </c>
      <c r="B8" s="1607" t="s">
        <v>3449</v>
      </c>
      <c r="C8" s="1607" t="s">
        <v>3448</v>
      </c>
      <c r="D8" s="1607" t="s">
        <v>3450</v>
      </c>
    </row>
    <row r="9" spans="1:4" ht="11.25" customHeight="1">
      <c r="A9" s="1607" t="s">
        <v>112</v>
      </c>
      <c r="B9" s="1607" t="s">
        <v>3451</v>
      </c>
      <c r="C9" s="1607" t="s">
        <v>3448</v>
      </c>
      <c r="D9" s="1607" t="s">
        <v>3450</v>
      </c>
    </row>
    <row r="10" spans="1:4" ht="11.25" customHeight="1">
      <c r="A10" s="1607" t="s">
        <v>153</v>
      </c>
      <c r="B10" s="1607" t="s">
        <v>3451</v>
      </c>
      <c r="C10" s="1607" t="s">
        <v>3448</v>
      </c>
      <c r="D10" s="1607" t="s">
        <v>3450</v>
      </c>
    </row>
    <row r="11" spans="1:4" ht="11.25" customHeight="1">
      <c r="A11" s="1607" t="s">
        <v>154</v>
      </c>
      <c r="B11" s="1607" t="s">
        <v>3452</v>
      </c>
      <c r="C11" s="1607" t="s">
        <v>3448</v>
      </c>
      <c r="D11" s="1607" t="s">
        <v>3450</v>
      </c>
    </row>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1"/>
  <sheetViews>
    <sheetView workbookViewId="0"/>
  </sheetViews>
  <sheetFormatPr defaultRowHeight="11.25" customHeight="1"/>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1:B2"/>
  <sheetViews>
    <sheetView showGridLines="0" workbookViewId="0"/>
  </sheetViews>
  <sheetFormatPr defaultColWidth="9.140625" defaultRowHeight="11.25" customHeight="1"/>
  <cols>
    <col min="1" max="2" width="9.140625" style="101"/>
  </cols>
  <sheetData>
    <row r="1" spans="1:2" ht="11.25" customHeight="1">
      <c r="A1" s="101" t="s">
        <v>135</v>
      </c>
      <c r="B1" s="101" t="s">
        <v>3453</v>
      </c>
    </row>
    <row r="2" spans="1:2" ht="11.25" customHeight="1">
      <c r="A2" s="1836" t="s">
        <v>98</v>
      </c>
      <c r="B2" s="1836" t="s">
        <v>3454</v>
      </c>
    </row>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1:B11"/>
  <sheetViews>
    <sheetView showGridLines="0" workbookViewId="0"/>
  </sheetViews>
  <sheetFormatPr defaultColWidth="9.140625" defaultRowHeight="11.25" customHeight="1"/>
  <cols>
    <col min="1" max="1" width="9.140625" style="1607"/>
    <col min="2" max="2" width="65.28515625" style="1607" customWidth="1"/>
  </cols>
  <sheetData>
    <row r="1" spans="1:2" ht="11.25" customHeight="1">
      <c r="A1" s="748" t="s">
        <v>3455</v>
      </c>
      <c r="B1" s="748" t="s">
        <v>3456</v>
      </c>
    </row>
    <row r="2" spans="1:2" ht="11.25" customHeight="1">
      <c r="A2" s="748">
        <v>4213775</v>
      </c>
      <c r="B2" s="748" t="s">
        <v>611</v>
      </c>
    </row>
    <row r="3" spans="1:2" ht="11.25" customHeight="1">
      <c r="A3" s="748">
        <v>4213784</v>
      </c>
      <c r="B3" s="748" t="s">
        <v>647</v>
      </c>
    </row>
    <row r="4" spans="1:2" ht="11.25" customHeight="1">
      <c r="A4" s="748">
        <v>4213781</v>
      </c>
      <c r="B4" s="748" t="s">
        <v>640</v>
      </c>
    </row>
    <row r="5" spans="1:2" ht="11.25" customHeight="1">
      <c r="A5" s="748">
        <v>4213776</v>
      </c>
      <c r="B5" s="748" t="s">
        <v>171</v>
      </c>
    </row>
    <row r="6" spans="1:2" ht="11.25" customHeight="1">
      <c r="A6" s="748">
        <v>4213777</v>
      </c>
      <c r="B6" s="748" t="s">
        <v>177</v>
      </c>
    </row>
    <row r="7" spans="1:2" ht="11.25" customHeight="1">
      <c r="A7" s="748">
        <v>4213778</v>
      </c>
      <c r="B7" s="748" t="s">
        <v>183</v>
      </c>
    </row>
    <row r="8" spans="1:2" ht="11.25" customHeight="1">
      <c r="A8" s="748">
        <v>4213780</v>
      </c>
      <c r="B8" s="748" t="s">
        <v>189</v>
      </c>
    </row>
    <row r="9" spans="1:2" ht="11.25" customHeight="1">
      <c r="A9" s="748">
        <v>4213779</v>
      </c>
      <c r="B9" s="748" t="s">
        <v>779</v>
      </c>
    </row>
    <row r="10" spans="1:2" ht="11.25" customHeight="1">
      <c r="A10" s="748">
        <v>4213783</v>
      </c>
      <c r="B10" s="748" t="s">
        <v>794</v>
      </c>
    </row>
    <row r="11" spans="1:2" ht="11.25" customHeight="1">
      <c r="A11" s="748">
        <v>4213782</v>
      </c>
      <c r="B11" s="748" t="s">
        <v>195</v>
      </c>
    </row>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1:B8"/>
  <sheetViews>
    <sheetView showGridLines="0" workbookViewId="0"/>
  </sheetViews>
  <sheetFormatPr defaultColWidth="9.140625" defaultRowHeight="11.25" customHeight="1"/>
  <cols>
    <col min="1" max="1" width="9.140625" style="1607"/>
    <col min="2" max="2" width="65.28515625" style="1607" customWidth="1"/>
  </cols>
  <sheetData>
    <row r="1" spans="1:2" ht="11.25" customHeight="1">
      <c r="A1" s="748" t="s">
        <v>3455</v>
      </c>
      <c r="B1" s="748" t="s">
        <v>3457</v>
      </c>
    </row>
    <row r="2" spans="1:2" ht="11.25" customHeight="1">
      <c r="A2" s="748" t="s">
        <v>3458</v>
      </c>
      <c r="B2" s="748" t="s">
        <v>893</v>
      </c>
    </row>
    <row r="3" spans="1:2" ht="11.25" customHeight="1">
      <c r="A3" s="748" t="s">
        <v>3459</v>
      </c>
      <c r="B3" s="748" t="s">
        <v>903</v>
      </c>
    </row>
    <row r="4" spans="1:2" ht="11.25" customHeight="1">
      <c r="A4" s="748" t="s">
        <v>3460</v>
      </c>
      <c r="B4" s="748" t="s">
        <v>912</v>
      </c>
    </row>
    <row r="5" spans="1:2" ht="11.25" customHeight="1">
      <c r="A5" s="748" t="s">
        <v>3461</v>
      </c>
      <c r="B5" s="748" t="s">
        <v>921</v>
      </c>
    </row>
    <row r="6" spans="1:2" ht="11.25" customHeight="1">
      <c r="A6" s="748" t="s">
        <v>3462</v>
      </c>
      <c r="B6" s="748" t="s">
        <v>927</v>
      </c>
    </row>
    <row r="7" spans="1:2" ht="11.25" customHeight="1">
      <c r="A7" s="748" t="s">
        <v>3463</v>
      </c>
      <c r="B7" s="748" t="s">
        <v>935</v>
      </c>
    </row>
    <row r="8" spans="1:2" ht="11.25" customHeight="1">
      <c r="A8" s="748" t="s">
        <v>3464</v>
      </c>
      <c r="B8" s="748" t="s">
        <v>942</v>
      </c>
    </row>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1:G319"/>
  <sheetViews>
    <sheetView showGridLines="0" workbookViewId="0"/>
  </sheetViews>
  <sheetFormatPr defaultRowHeight="11.25" customHeight="1"/>
  <sheetData>
    <row r="1" spans="1:7" ht="11.25" customHeight="1">
      <c r="A1" t="s">
        <v>2550</v>
      </c>
      <c r="B1" t="s">
        <v>2551</v>
      </c>
      <c r="C1" t="s">
        <v>2552</v>
      </c>
      <c r="D1" t="s">
        <v>2553</v>
      </c>
      <c r="E1" t="s">
        <v>2554</v>
      </c>
      <c r="F1" t="s">
        <v>2555</v>
      </c>
      <c r="G1" t="s">
        <v>2556</v>
      </c>
    </row>
    <row r="2" spans="1:7" ht="11.25" customHeight="1">
      <c r="A2" t="s">
        <v>14</v>
      </c>
      <c r="B2" t="s">
        <v>2557</v>
      </c>
      <c r="C2" t="s">
        <v>2558</v>
      </c>
      <c r="D2" t="s">
        <v>2557</v>
      </c>
      <c r="E2" t="s">
        <v>2558</v>
      </c>
      <c r="F2" t="s">
        <v>2559</v>
      </c>
      <c r="G2" t="s">
        <v>109</v>
      </c>
    </row>
    <row r="3" spans="1:7" ht="11.25" customHeight="1">
      <c r="A3" t="s">
        <v>14</v>
      </c>
      <c r="B3" t="s">
        <v>2560</v>
      </c>
      <c r="C3" t="s">
        <v>2561</v>
      </c>
      <c r="D3" t="s">
        <v>2560</v>
      </c>
      <c r="E3" t="s">
        <v>2561</v>
      </c>
      <c r="F3" t="s">
        <v>2562</v>
      </c>
      <c r="G3" t="s">
        <v>110</v>
      </c>
    </row>
    <row r="4" spans="1:7" ht="11.25" customHeight="1">
      <c r="A4" t="s">
        <v>14</v>
      </c>
      <c r="B4" t="s">
        <v>2560</v>
      </c>
      <c r="C4" t="s">
        <v>2561</v>
      </c>
      <c r="D4" t="s">
        <v>2563</v>
      </c>
      <c r="E4" t="s">
        <v>2564</v>
      </c>
      <c r="F4" t="s">
        <v>2565</v>
      </c>
      <c r="G4" t="s">
        <v>90</v>
      </c>
    </row>
    <row r="5" spans="1:7" ht="11.25" customHeight="1">
      <c r="A5" t="s">
        <v>14</v>
      </c>
      <c r="B5" t="s">
        <v>2560</v>
      </c>
      <c r="C5" t="s">
        <v>2561</v>
      </c>
      <c r="D5" t="s">
        <v>2566</v>
      </c>
      <c r="E5" t="s">
        <v>2567</v>
      </c>
      <c r="F5" t="s">
        <v>2565</v>
      </c>
      <c r="G5" t="s">
        <v>91</v>
      </c>
    </row>
    <row r="6" spans="1:7" ht="11.25" customHeight="1">
      <c r="A6" t="s">
        <v>14</v>
      </c>
      <c r="B6" t="s">
        <v>2560</v>
      </c>
      <c r="C6" t="s">
        <v>2561</v>
      </c>
      <c r="D6" t="s">
        <v>2568</v>
      </c>
      <c r="E6" t="s">
        <v>2569</v>
      </c>
      <c r="F6" t="s">
        <v>2565</v>
      </c>
      <c r="G6" t="s">
        <v>111</v>
      </c>
    </row>
    <row r="7" spans="1:7" ht="11.25" customHeight="1">
      <c r="A7" t="s">
        <v>14</v>
      </c>
      <c r="B7" t="s">
        <v>2560</v>
      </c>
      <c r="C7" t="s">
        <v>2561</v>
      </c>
      <c r="D7" t="s">
        <v>2570</v>
      </c>
      <c r="E7" t="s">
        <v>2571</v>
      </c>
      <c r="F7" t="s">
        <v>2565</v>
      </c>
      <c r="G7" t="s">
        <v>92</v>
      </c>
    </row>
    <row r="8" spans="1:7" ht="11.25" customHeight="1">
      <c r="A8" t="s">
        <v>14</v>
      </c>
      <c r="B8" t="s">
        <v>2560</v>
      </c>
      <c r="C8" t="s">
        <v>2561</v>
      </c>
      <c r="D8" t="s">
        <v>2572</v>
      </c>
      <c r="E8" t="s">
        <v>2573</v>
      </c>
      <c r="F8" t="s">
        <v>2565</v>
      </c>
      <c r="G8" t="s">
        <v>93</v>
      </c>
    </row>
    <row r="9" spans="1:7" ht="11.25" customHeight="1">
      <c r="A9" t="s">
        <v>14</v>
      </c>
      <c r="B9" t="s">
        <v>2560</v>
      </c>
      <c r="C9" t="s">
        <v>2561</v>
      </c>
      <c r="D9" t="s">
        <v>2574</v>
      </c>
      <c r="E9" t="s">
        <v>2575</v>
      </c>
      <c r="F9" t="s">
        <v>2565</v>
      </c>
      <c r="G9" t="s">
        <v>112</v>
      </c>
    </row>
    <row r="10" spans="1:7" ht="11.25" customHeight="1">
      <c r="A10" t="s">
        <v>14</v>
      </c>
      <c r="B10" t="s">
        <v>2560</v>
      </c>
      <c r="C10" t="s">
        <v>2561</v>
      </c>
      <c r="D10" t="s">
        <v>2576</v>
      </c>
      <c r="E10" t="s">
        <v>2577</v>
      </c>
      <c r="F10" t="s">
        <v>2565</v>
      </c>
      <c r="G10" t="s">
        <v>153</v>
      </c>
    </row>
    <row r="11" spans="1:7" ht="11.25" customHeight="1">
      <c r="A11" t="s">
        <v>14</v>
      </c>
      <c r="B11" t="s">
        <v>2560</v>
      </c>
      <c r="C11" t="s">
        <v>2561</v>
      </c>
      <c r="D11" t="s">
        <v>2578</v>
      </c>
      <c r="E11" t="s">
        <v>2579</v>
      </c>
      <c r="F11" t="s">
        <v>2565</v>
      </c>
      <c r="G11" t="s">
        <v>154</v>
      </c>
    </row>
    <row r="12" spans="1:7" ht="11.25" customHeight="1">
      <c r="A12" t="s">
        <v>14</v>
      </c>
      <c r="B12" t="s">
        <v>2560</v>
      </c>
      <c r="C12" t="s">
        <v>2561</v>
      </c>
      <c r="D12" t="s">
        <v>2580</v>
      </c>
      <c r="E12" t="s">
        <v>2581</v>
      </c>
      <c r="F12" t="s">
        <v>2565</v>
      </c>
      <c r="G12" t="s">
        <v>155</v>
      </c>
    </row>
    <row r="13" spans="1:7" ht="11.25" customHeight="1">
      <c r="A13" t="s">
        <v>14</v>
      </c>
      <c r="B13" t="s">
        <v>2560</v>
      </c>
      <c r="C13" t="s">
        <v>2561</v>
      </c>
      <c r="D13" t="s">
        <v>2582</v>
      </c>
      <c r="E13" t="s">
        <v>2583</v>
      </c>
      <c r="F13" t="s">
        <v>2565</v>
      </c>
      <c r="G13" t="s">
        <v>156</v>
      </c>
    </row>
    <row r="14" spans="1:7" ht="11.25" customHeight="1">
      <c r="A14" t="s">
        <v>14</v>
      </c>
      <c r="B14" t="s">
        <v>2560</v>
      </c>
      <c r="C14" t="s">
        <v>2561</v>
      </c>
      <c r="D14" t="s">
        <v>2584</v>
      </c>
      <c r="E14" t="s">
        <v>2585</v>
      </c>
      <c r="F14" t="s">
        <v>2565</v>
      </c>
      <c r="G14" t="s">
        <v>157</v>
      </c>
    </row>
    <row r="15" spans="1:7" ht="11.25" customHeight="1">
      <c r="A15" t="s">
        <v>14</v>
      </c>
      <c r="B15" t="s">
        <v>2560</v>
      </c>
      <c r="C15" t="s">
        <v>2561</v>
      </c>
      <c r="D15" t="s">
        <v>2586</v>
      </c>
      <c r="E15" t="s">
        <v>2587</v>
      </c>
      <c r="F15" t="s">
        <v>2565</v>
      </c>
      <c r="G15" t="s">
        <v>158</v>
      </c>
    </row>
    <row r="16" spans="1:7" ht="11.25" customHeight="1">
      <c r="A16" t="s">
        <v>14</v>
      </c>
      <c r="B16" t="s">
        <v>2560</v>
      </c>
      <c r="C16" t="s">
        <v>2561</v>
      </c>
      <c r="D16" t="s">
        <v>2588</v>
      </c>
      <c r="E16" t="s">
        <v>2589</v>
      </c>
      <c r="F16" t="s">
        <v>2565</v>
      </c>
      <c r="G16" t="s">
        <v>855</v>
      </c>
    </row>
    <row r="17" spans="1:7" ht="11.25" customHeight="1">
      <c r="A17" t="s">
        <v>14</v>
      </c>
      <c r="B17" t="s">
        <v>2560</v>
      </c>
      <c r="C17" t="s">
        <v>2561</v>
      </c>
      <c r="D17" t="s">
        <v>2590</v>
      </c>
      <c r="E17" t="s">
        <v>2591</v>
      </c>
      <c r="F17" t="s">
        <v>2565</v>
      </c>
      <c r="G17" t="s">
        <v>861</v>
      </c>
    </row>
    <row r="18" spans="1:7" ht="11.25" customHeight="1">
      <c r="A18" t="s">
        <v>14</v>
      </c>
      <c r="B18" t="s">
        <v>2560</v>
      </c>
      <c r="C18" t="s">
        <v>2561</v>
      </c>
      <c r="D18" t="s">
        <v>2592</v>
      </c>
      <c r="E18" t="s">
        <v>2593</v>
      </c>
      <c r="F18" t="s">
        <v>2565</v>
      </c>
      <c r="G18" t="s">
        <v>872</v>
      </c>
    </row>
    <row r="19" spans="1:7" ht="11.25" customHeight="1">
      <c r="A19" t="s">
        <v>14</v>
      </c>
      <c r="B19" t="s">
        <v>2560</v>
      </c>
      <c r="C19" t="s">
        <v>2561</v>
      </c>
      <c r="D19" t="s">
        <v>2594</v>
      </c>
      <c r="E19" t="s">
        <v>2595</v>
      </c>
      <c r="F19" t="s">
        <v>2565</v>
      </c>
      <c r="G19" t="s">
        <v>886</v>
      </c>
    </row>
    <row r="20" spans="1:7" ht="11.25" customHeight="1">
      <c r="A20" t="s">
        <v>14</v>
      </c>
      <c r="B20" t="s">
        <v>2560</v>
      </c>
      <c r="C20" t="s">
        <v>2561</v>
      </c>
      <c r="D20" t="s">
        <v>2596</v>
      </c>
      <c r="E20" t="s">
        <v>2597</v>
      </c>
      <c r="F20" t="s">
        <v>2565</v>
      </c>
      <c r="G20" t="s">
        <v>898</v>
      </c>
    </row>
    <row r="21" spans="1:7" ht="11.25" customHeight="1">
      <c r="A21" t="s">
        <v>14</v>
      </c>
      <c r="B21" t="s">
        <v>2560</v>
      </c>
      <c r="C21" t="s">
        <v>2561</v>
      </c>
      <c r="D21" t="s">
        <v>2598</v>
      </c>
      <c r="E21" t="s">
        <v>2599</v>
      </c>
      <c r="F21" t="s">
        <v>2565</v>
      </c>
      <c r="G21" t="s">
        <v>907</v>
      </c>
    </row>
    <row r="22" spans="1:7" ht="11.25" customHeight="1">
      <c r="A22" t="s">
        <v>14</v>
      </c>
      <c r="B22" t="s">
        <v>2560</v>
      </c>
      <c r="C22" t="s">
        <v>2561</v>
      </c>
      <c r="D22" t="s">
        <v>2600</v>
      </c>
      <c r="E22" t="s">
        <v>2601</v>
      </c>
      <c r="F22" t="s">
        <v>2565</v>
      </c>
      <c r="G22" t="s">
        <v>923</v>
      </c>
    </row>
    <row r="23" spans="1:7" ht="11.25" customHeight="1">
      <c r="A23" t="s">
        <v>14</v>
      </c>
      <c r="B23" t="s">
        <v>2560</v>
      </c>
      <c r="C23" t="s">
        <v>2561</v>
      </c>
      <c r="D23" t="s">
        <v>2602</v>
      </c>
      <c r="E23" t="s">
        <v>2603</v>
      </c>
      <c r="F23" t="s">
        <v>2565</v>
      </c>
      <c r="G23" t="s">
        <v>930</v>
      </c>
    </row>
    <row r="24" spans="1:7" ht="11.25" customHeight="1">
      <c r="A24" t="s">
        <v>14</v>
      </c>
      <c r="B24" t="s">
        <v>2560</v>
      </c>
      <c r="C24" t="s">
        <v>2561</v>
      </c>
      <c r="D24" t="s">
        <v>2604</v>
      </c>
      <c r="E24" t="s">
        <v>2605</v>
      </c>
      <c r="F24" t="s">
        <v>2565</v>
      </c>
      <c r="G24" t="s">
        <v>938</v>
      </c>
    </row>
    <row r="25" spans="1:7" ht="11.25" customHeight="1">
      <c r="A25" t="s">
        <v>14</v>
      </c>
      <c r="B25" t="s">
        <v>2560</v>
      </c>
      <c r="C25" t="s">
        <v>2561</v>
      </c>
      <c r="D25" t="s">
        <v>2606</v>
      </c>
      <c r="E25" t="s">
        <v>2607</v>
      </c>
      <c r="F25" t="s">
        <v>2608</v>
      </c>
      <c r="G25" t="s">
        <v>945</v>
      </c>
    </row>
    <row r="26" spans="1:7" ht="11.25" customHeight="1">
      <c r="A26" t="s">
        <v>14</v>
      </c>
      <c r="B26" t="s">
        <v>2560</v>
      </c>
      <c r="C26" t="s">
        <v>2561</v>
      </c>
      <c r="D26" t="s">
        <v>2609</v>
      </c>
      <c r="E26" t="s">
        <v>2610</v>
      </c>
      <c r="F26" t="s">
        <v>2608</v>
      </c>
      <c r="G26" t="s">
        <v>949</v>
      </c>
    </row>
    <row r="27" spans="1:7" ht="11.25" customHeight="1">
      <c r="A27" t="s">
        <v>14</v>
      </c>
      <c r="B27" t="s">
        <v>2560</v>
      </c>
      <c r="C27" t="s">
        <v>2561</v>
      </c>
      <c r="D27" t="s">
        <v>2611</v>
      </c>
      <c r="E27" t="s">
        <v>2612</v>
      </c>
      <c r="F27" t="s">
        <v>2608</v>
      </c>
      <c r="G27" t="s">
        <v>954</v>
      </c>
    </row>
    <row r="28" spans="1:7" ht="11.25" customHeight="1">
      <c r="A28" t="s">
        <v>14</v>
      </c>
      <c r="B28" t="s">
        <v>2613</v>
      </c>
      <c r="C28" t="s">
        <v>2614</v>
      </c>
      <c r="D28" t="s">
        <v>2615</v>
      </c>
      <c r="E28" t="s">
        <v>2616</v>
      </c>
      <c r="F28" t="s">
        <v>2565</v>
      </c>
      <c r="G28" t="s">
        <v>962</v>
      </c>
    </row>
    <row r="29" spans="1:7" ht="11.25" customHeight="1">
      <c r="A29" t="s">
        <v>14</v>
      </c>
      <c r="B29" t="s">
        <v>2613</v>
      </c>
      <c r="C29" t="s">
        <v>2614</v>
      </c>
      <c r="D29" t="s">
        <v>2617</v>
      </c>
      <c r="E29" t="s">
        <v>2618</v>
      </c>
      <c r="F29" t="s">
        <v>2565</v>
      </c>
      <c r="G29" t="s">
        <v>964</v>
      </c>
    </row>
    <row r="30" spans="1:7" ht="11.25" customHeight="1">
      <c r="A30" t="s">
        <v>14</v>
      </c>
      <c r="B30" t="s">
        <v>2613</v>
      </c>
      <c r="C30" t="s">
        <v>2614</v>
      </c>
      <c r="D30" t="s">
        <v>2619</v>
      </c>
      <c r="E30" t="s">
        <v>2620</v>
      </c>
      <c r="F30" t="s">
        <v>2565</v>
      </c>
      <c r="G30" t="s">
        <v>967</v>
      </c>
    </row>
    <row r="31" spans="1:7" ht="11.25" customHeight="1">
      <c r="A31" t="s">
        <v>14</v>
      </c>
      <c r="B31" t="s">
        <v>2613</v>
      </c>
      <c r="C31" t="s">
        <v>2614</v>
      </c>
      <c r="D31" t="s">
        <v>2613</v>
      </c>
      <c r="E31" t="s">
        <v>2614</v>
      </c>
      <c r="F31" t="s">
        <v>2562</v>
      </c>
      <c r="G31" t="s">
        <v>973</v>
      </c>
    </row>
    <row r="32" spans="1:7" ht="11.25" customHeight="1">
      <c r="A32" t="s">
        <v>14</v>
      </c>
      <c r="B32" t="s">
        <v>2613</v>
      </c>
      <c r="C32" t="s">
        <v>2614</v>
      </c>
      <c r="D32" t="s">
        <v>2621</v>
      </c>
      <c r="E32" t="s">
        <v>2622</v>
      </c>
      <c r="F32" t="s">
        <v>2565</v>
      </c>
      <c r="G32" t="s">
        <v>975</v>
      </c>
    </row>
    <row r="33" spans="1:7" ht="11.25" customHeight="1">
      <c r="A33" t="s">
        <v>14</v>
      </c>
      <c r="B33" t="s">
        <v>2613</v>
      </c>
      <c r="C33" t="s">
        <v>2614</v>
      </c>
      <c r="D33" t="s">
        <v>2623</v>
      </c>
      <c r="E33" t="s">
        <v>2624</v>
      </c>
      <c r="F33" t="s">
        <v>2565</v>
      </c>
      <c r="G33" t="s">
        <v>977</v>
      </c>
    </row>
    <row r="34" spans="1:7" ht="11.25" customHeight="1">
      <c r="A34" t="s">
        <v>14</v>
      </c>
      <c r="B34" t="s">
        <v>2613</v>
      </c>
      <c r="C34" t="s">
        <v>2614</v>
      </c>
      <c r="D34" t="s">
        <v>2625</v>
      </c>
      <c r="E34" t="s">
        <v>2626</v>
      </c>
      <c r="F34" t="s">
        <v>2565</v>
      </c>
      <c r="G34" t="s">
        <v>979</v>
      </c>
    </row>
    <row r="35" spans="1:7" ht="11.25" customHeight="1">
      <c r="A35" t="s">
        <v>14</v>
      </c>
      <c r="B35" t="s">
        <v>2613</v>
      </c>
      <c r="C35" t="s">
        <v>2614</v>
      </c>
      <c r="D35" t="s">
        <v>2627</v>
      </c>
      <c r="E35" t="s">
        <v>2628</v>
      </c>
      <c r="F35" t="s">
        <v>2565</v>
      </c>
      <c r="G35" t="s">
        <v>985</v>
      </c>
    </row>
    <row r="36" spans="1:7" ht="11.25" customHeight="1">
      <c r="A36" t="s">
        <v>14</v>
      </c>
      <c r="B36" t="s">
        <v>2613</v>
      </c>
      <c r="C36" t="s">
        <v>2614</v>
      </c>
      <c r="D36" t="s">
        <v>2629</v>
      </c>
      <c r="E36" t="s">
        <v>2630</v>
      </c>
      <c r="F36" t="s">
        <v>2565</v>
      </c>
      <c r="G36" t="s">
        <v>990</v>
      </c>
    </row>
    <row r="37" spans="1:7" ht="11.25" customHeight="1">
      <c r="A37" t="s">
        <v>14</v>
      </c>
      <c r="B37" t="s">
        <v>2613</v>
      </c>
      <c r="C37" t="s">
        <v>2614</v>
      </c>
      <c r="D37" t="s">
        <v>2631</v>
      </c>
      <c r="E37" t="s">
        <v>2632</v>
      </c>
      <c r="F37" t="s">
        <v>2565</v>
      </c>
      <c r="G37" t="s">
        <v>994</v>
      </c>
    </row>
    <row r="38" spans="1:7" ht="11.25" customHeight="1">
      <c r="A38" t="s">
        <v>14</v>
      </c>
      <c r="B38" t="s">
        <v>2613</v>
      </c>
      <c r="C38" t="s">
        <v>2614</v>
      </c>
      <c r="D38" t="s">
        <v>2633</v>
      </c>
      <c r="E38" t="s">
        <v>2634</v>
      </c>
      <c r="F38" t="s">
        <v>2608</v>
      </c>
      <c r="G38" t="s">
        <v>1002</v>
      </c>
    </row>
    <row r="39" spans="1:7" ht="11.25" customHeight="1">
      <c r="A39" t="s">
        <v>14</v>
      </c>
      <c r="B39" t="s">
        <v>2635</v>
      </c>
      <c r="C39" t="s">
        <v>2636</v>
      </c>
      <c r="D39" t="s">
        <v>2635</v>
      </c>
      <c r="E39" t="s">
        <v>2636</v>
      </c>
      <c r="F39" t="s">
        <v>2559</v>
      </c>
      <c r="G39" t="s">
        <v>1009</v>
      </c>
    </row>
    <row r="40" spans="1:7" ht="11.25" customHeight="1">
      <c r="A40" t="s">
        <v>14</v>
      </c>
      <c r="B40" t="s">
        <v>2637</v>
      </c>
      <c r="C40" t="s">
        <v>2638</v>
      </c>
      <c r="D40" t="s">
        <v>2639</v>
      </c>
      <c r="E40" t="s">
        <v>2640</v>
      </c>
      <c r="F40" t="s">
        <v>2565</v>
      </c>
      <c r="G40" t="s">
        <v>1016</v>
      </c>
    </row>
    <row r="41" spans="1:7" ht="11.25" customHeight="1">
      <c r="A41" t="s">
        <v>14</v>
      </c>
      <c r="B41" t="s">
        <v>2637</v>
      </c>
      <c r="C41" t="s">
        <v>2638</v>
      </c>
      <c r="D41" t="s">
        <v>2641</v>
      </c>
      <c r="E41" t="s">
        <v>2642</v>
      </c>
      <c r="F41" t="s">
        <v>2565</v>
      </c>
      <c r="G41" t="s">
        <v>1022</v>
      </c>
    </row>
    <row r="42" spans="1:7" ht="11.25" customHeight="1">
      <c r="A42" t="s">
        <v>14</v>
      </c>
      <c r="B42" t="s">
        <v>2637</v>
      </c>
      <c r="C42" t="s">
        <v>2638</v>
      </c>
      <c r="D42" t="s">
        <v>2637</v>
      </c>
      <c r="E42" t="s">
        <v>2638</v>
      </c>
      <c r="F42" t="s">
        <v>2562</v>
      </c>
      <c r="G42" t="s">
        <v>1027</v>
      </c>
    </row>
    <row r="43" spans="1:7" ht="11.25" customHeight="1">
      <c r="A43" t="s">
        <v>14</v>
      </c>
      <c r="B43" t="s">
        <v>2637</v>
      </c>
      <c r="C43" t="s">
        <v>2638</v>
      </c>
      <c r="D43" t="s">
        <v>2643</v>
      </c>
      <c r="E43" t="s">
        <v>2644</v>
      </c>
      <c r="F43" t="s">
        <v>2565</v>
      </c>
      <c r="G43" t="s">
        <v>1034</v>
      </c>
    </row>
    <row r="44" spans="1:7" ht="11.25" customHeight="1">
      <c r="A44" t="s">
        <v>14</v>
      </c>
      <c r="B44" t="s">
        <v>2637</v>
      </c>
      <c r="C44" t="s">
        <v>2638</v>
      </c>
      <c r="D44" t="s">
        <v>2645</v>
      </c>
      <c r="E44" t="s">
        <v>2646</v>
      </c>
      <c r="F44" t="s">
        <v>2565</v>
      </c>
      <c r="G44" t="s">
        <v>1043</v>
      </c>
    </row>
    <row r="45" spans="1:7" ht="11.25" customHeight="1">
      <c r="A45" t="s">
        <v>14</v>
      </c>
      <c r="B45" t="s">
        <v>2637</v>
      </c>
      <c r="C45" t="s">
        <v>2638</v>
      </c>
      <c r="D45" t="s">
        <v>2647</v>
      </c>
      <c r="E45" t="s">
        <v>2648</v>
      </c>
      <c r="F45" t="s">
        <v>2565</v>
      </c>
      <c r="G45" t="s">
        <v>1049</v>
      </c>
    </row>
    <row r="46" spans="1:7" ht="11.25" customHeight="1">
      <c r="A46" t="s">
        <v>14</v>
      </c>
      <c r="B46" t="s">
        <v>2637</v>
      </c>
      <c r="C46" t="s">
        <v>2638</v>
      </c>
      <c r="D46" t="s">
        <v>2649</v>
      </c>
      <c r="E46" t="s">
        <v>2650</v>
      </c>
      <c r="F46" t="s">
        <v>2565</v>
      </c>
      <c r="G46" t="s">
        <v>1053</v>
      </c>
    </row>
    <row r="47" spans="1:7" ht="11.25" customHeight="1">
      <c r="A47" t="s">
        <v>14</v>
      </c>
      <c r="B47" t="s">
        <v>2637</v>
      </c>
      <c r="C47" t="s">
        <v>2638</v>
      </c>
      <c r="D47" t="s">
        <v>2651</v>
      </c>
      <c r="E47" t="s">
        <v>2652</v>
      </c>
      <c r="F47" t="s">
        <v>2565</v>
      </c>
      <c r="G47" t="s">
        <v>1060</v>
      </c>
    </row>
    <row r="48" spans="1:7" ht="11.25" customHeight="1">
      <c r="A48" t="s">
        <v>14</v>
      </c>
      <c r="B48" t="s">
        <v>2637</v>
      </c>
      <c r="C48" t="s">
        <v>2638</v>
      </c>
      <c r="D48" t="s">
        <v>2653</v>
      </c>
      <c r="E48" t="s">
        <v>2654</v>
      </c>
      <c r="F48" t="s">
        <v>2565</v>
      </c>
      <c r="G48" t="s">
        <v>1066</v>
      </c>
    </row>
    <row r="49" spans="1:7" ht="11.25" customHeight="1">
      <c r="A49" t="s">
        <v>14</v>
      </c>
      <c r="B49" t="s">
        <v>2637</v>
      </c>
      <c r="C49" t="s">
        <v>2638</v>
      </c>
      <c r="D49" t="s">
        <v>2655</v>
      </c>
      <c r="E49" t="s">
        <v>2656</v>
      </c>
      <c r="F49" t="s">
        <v>2565</v>
      </c>
      <c r="G49" t="s">
        <v>1072</v>
      </c>
    </row>
    <row r="50" spans="1:7" ht="11.25" customHeight="1">
      <c r="A50" t="s">
        <v>14</v>
      </c>
      <c r="B50" t="s">
        <v>2637</v>
      </c>
      <c r="C50" t="s">
        <v>2638</v>
      </c>
      <c r="D50" t="s">
        <v>2657</v>
      </c>
      <c r="E50" t="s">
        <v>2658</v>
      </c>
      <c r="F50" t="s">
        <v>2565</v>
      </c>
      <c r="G50" t="s">
        <v>1077</v>
      </c>
    </row>
    <row r="51" spans="1:7" ht="11.25" customHeight="1">
      <c r="A51" t="s">
        <v>14</v>
      </c>
      <c r="B51" t="s">
        <v>2637</v>
      </c>
      <c r="C51" t="s">
        <v>2638</v>
      </c>
      <c r="D51" t="s">
        <v>2659</v>
      </c>
      <c r="E51" t="s">
        <v>2660</v>
      </c>
      <c r="F51" t="s">
        <v>2565</v>
      </c>
      <c r="G51" t="s">
        <v>1082</v>
      </c>
    </row>
    <row r="52" spans="1:7" ht="11.25" customHeight="1">
      <c r="A52" t="s">
        <v>14</v>
      </c>
      <c r="B52" t="s">
        <v>2637</v>
      </c>
      <c r="C52" t="s">
        <v>2638</v>
      </c>
      <c r="D52" t="s">
        <v>2661</v>
      </c>
      <c r="E52" t="s">
        <v>2662</v>
      </c>
      <c r="F52" t="s">
        <v>2608</v>
      </c>
      <c r="G52" t="s">
        <v>1086</v>
      </c>
    </row>
    <row r="53" spans="1:7" ht="11.25" customHeight="1">
      <c r="A53" t="s">
        <v>14</v>
      </c>
      <c r="B53" t="s">
        <v>2663</v>
      </c>
      <c r="C53" t="s">
        <v>2664</v>
      </c>
      <c r="D53" t="s">
        <v>2665</v>
      </c>
      <c r="E53" t="s">
        <v>2666</v>
      </c>
      <c r="F53" t="s">
        <v>2565</v>
      </c>
      <c r="G53" t="s">
        <v>1088</v>
      </c>
    </row>
    <row r="54" spans="1:7" ht="11.25" customHeight="1">
      <c r="A54" t="s">
        <v>14</v>
      </c>
      <c r="B54" t="s">
        <v>2663</v>
      </c>
      <c r="C54" t="s">
        <v>2664</v>
      </c>
      <c r="D54" t="s">
        <v>2663</v>
      </c>
      <c r="E54" t="s">
        <v>2664</v>
      </c>
      <c r="F54" t="s">
        <v>2562</v>
      </c>
      <c r="G54" t="s">
        <v>1091</v>
      </c>
    </row>
    <row r="55" spans="1:7" ht="11.25" customHeight="1">
      <c r="A55" t="s">
        <v>14</v>
      </c>
      <c r="B55" t="s">
        <v>2663</v>
      </c>
      <c r="C55" t="s">
        <v>2664</v>
      </c>
      <c r="D55" t="s">
        <v>2667</v>
      </c>
      <c r="E55" t="s">
        <v>2668</v>
      </c>
      <c r="F55" t="s">
        <v>2565</v>
      </c>
      <c r="G55" t="s">
        <v>1095</v>
      </c>
    </row>
    <row r="56" spans="1:7" ht="11.25" customHeight="1">
      <c r="A56" t="s">
        <v>14</v>
      </c>
      <c r="B56" t="s">
        <v>2663</v>
      </c>
      <c r="C56" t="s">
        <v>2664</v>
      </c>
      <c r="D56" t="s">
        <v>2669</v>
      </c>
      <c r="E56" t="s">
        <v>2670</v>
      </c>
      <c r="F56" t="s">
        <v>2565</v>
      </c>
      <c r="G56" t="s">
        <v>1098</v>
      </c>
    </row>
    <row r="57" spans="1:7" ht="11.25" customHeight="1">
      <c r="A57" t="s">
        <v>14</v>
      </c>
      <c r="B57" t="s">
        <v>2663</v>
      </c>
      <c r="C57" t="s">
        <v>2664</v>
      </c>
      <c r="D57" t="s">
        <v>2671</v>
      </c>
      <c r="E57" t="s">
        <v>2672</v>
      </c>
      <c r="F57" t="s">
        <v>2565</v>
      </c>
      <c r="G57" t="s">
        <v>1101</v>
      </c>
    </row>
    <row r="58" spans="1:7" ht="11.25" customHeight="1">
      <c r="A58" t="s">
        <v>14</v>
      </c>
      <c r="B58" t="s">
        <v>2663</v>
      </c>
      <c r="C58" t="s">
        <v>2664</v>
      </c>
      <c r="D58" t="s">
        <v>2673</v>
      </c>
      <c r="E58" t="s">
        <v>2674</v>
      </c>
      <c r="F58" t="s">
        <v>2565</v>
      </c>
      <c r="G58" t="s">
        <v>1104</v>
      </c>
    </row>
    <row r="59" spans="1:7" ht="11.25" customHeight="1">
      <c r="A59" t="s">
        <v>14</v>
      </c>
      <c r="B59" t="s">
        <v>2663</v>
      </c>
      <c r="C59" t="s">
        <v>2664</v>
      </c>
      <c r="D59" t="s">
        <v>2675</v>
      </c>
      <c r="E59" t="s">
        <v>2676</v>
      </c>
      <c r="F59" t="s">
        <v>2565</v>
      </c>
      <c r="G59" t="s">
        <v>1108</v>
      </c>
    </row>
    <row r="60" spans="1:7" ht="11.25" customHeight="1">
      <c r="A60" t="s">
        <v>14</v>
      </c>
      <c r="B60" t="s">
        <v>2663</v>
      </c>
      <c r="C60" t="s">
        <v>2664</v>
      </c>
      <c r="D60" t="s">
        <v>2677</v>
      </c>
      <c r="E60" t="s">
        <v>2678</v>
      </c>
      <c r="F60" t="s">
        <v>2608</v>
      </c>
      <c r="G60" t="s">
        <v>1111</v>
      </c>
    </row>
    <row r="61" spans="1:7" ht="11.25" customHeight="1">
      <c r="A61" t="s">
        <v>14</v>
      </c>
      <c r="B61" t="s">
        <v>2663</v>
      </c>
      <c r="C61" t="s">
        <v>2664</v>
      </c>
      <c r="D61" t="s">
        <v>2679</v>
      </c>
      <c r="E61" t="s">
        <v>2680</v>
      </c>
      <c r="F61" t="s">
        <v>2565</v>
      </c>
      <c r="G61" t="s">
        <v>2681</v>
      </c>
    </row>
    <row r="62" spans="1:7" ht="11.25" customHeight="1">
      <c r="A62" t="s">
        <v>14</v>
      </c>
      <c r="B62" t="s">
        <v>2663</v>
      </c>
      <c r="C62" t="s">
        <v>2664</v>
      </c>
      <c r="D62" t="s">
        <v>2682</v>
      </c>
      <c r="E62" t="s">
        <v>2683</v>
      </c>
      <c r="F62" t="s">
        <v>2565</v>
      </c>
      <c r="G62" t="s">
        <v>2684</v>
      </c>
    </row>
    <row r="63" spans="1:7" ht="11.25" customHeight="1">
      <c r="A63" t="s">
        <v>14</v>
      </c>
      <c r="B63" t="s">
        <v>2663</v>
      </c>
      <c r="C63" t="s">
        <v>2664</v>
      </c>
      <c r="D63" t="s">
        <v>2685</v>
      </c>
      <c r="E63" t="s">
        <v>2686</v>
      </c>
      <c r="F63" t="s">
        <v>2565</v>
      </c>
      <c r="G63" t="s">
        <v>2687</v>
      </c>
    </row>
    <row r="64" spans="1:7" ht="11.25" customHeight="1">
      <c r="A64" t="s">
        <v>14</v>
      </c>
      <c r="B64" t="s">
        <v>2663</v>
      </c>
      <c r="C64" t="s">
        <v>2664</v>
      </c>
      <c r="D64" t="s">
        <v>2688</v>
      </c>
      <c r="E64" t="s">
        <v>2689</v>
      </c>
      <c r="F64" t="s">
        <v>2565</v>
      </c>
      <c r="G64" t="s">
        <v>2690</v>
      </c>
    </row>
    <row r="65" spans="1:7" ht="11.25" customHeight="1">
      <c r="A65" t="s">
        <v>14</v>
      </c>
      <c r="B65" t="s">
        <v>2663</v>
      </c>
      <c r="C65" t="s">
        <v>2664</v>
      </c>
      <c r="D65" t="s">
        <v>2691</v>
      </c>
      <c r="E65" t="s">
        <v>2692</v>
      </c>
      <c r="F65" t="s">
        <v>2565</v>
      </c>
      <c r="G65" t="s">
        <v>2693</v>
      </c>
    </row>
    <row r="66" spans="1:7" ht="11.25" customHeight="1">
      <c r="A66" t="s">
        <v>14</v>
      </c>
      <c r="B66" t="s">
        <v>2663</v>
      </c>
      <c r="C66" t="s">
        <v>2664</v>
      </c>
      <c r="D66" t="s">
        <v>2694</v>
      </c>
      <c r="E66" t="s">
        <v>2695</v>
      </c>
      <c r="F66" t="s">
        <v>2565</v>
      </c>
      <c r="G66" t="s">
        <v>2696</v>
      </c>
    </row>
    <row r="67" spans="1:7" ht="11.25" customHeight="1">
      <c r="A67" t="s">
        <v>14</v>
      </c>
      <c r="B67" t="s">
        <v>2663</v>
      </c>
      <c r="C67" t="s">
        <v>2664</v>
      </c>
      <c r="D67" t="s">
        <v>2697</v>
      </c>
      <c r="E67" t="s">
        <v>2698</v>
      </c>
      <c r="F67" t="s">
        <v>2608</v>
      </c>
      <c r="G67" t="s">
        <v>1328</v>
      </c>
    </row>
    <row r="68" spans="1:7" ht="11.25" customHeight="1">
      <c r="A68" t="s">
        <v>14</v>
      </c>
      <c r="B68" t="s">
        <v>2699</v>
      </c>
      <c r="C68" t="s">
        <v>2700</v>
      </c>
      <c r="D68" t="s">
        <v>2699</v>
      </c>
      <c r="E68" t="s">
        <v>2700</v>
      </c>
      <c r="F68" t="s">
        <v>2559</v>
      </c>
      <c r="G68" t="s">
        <v>2701</v>
      </c>
    </row>
    <row r="69" spans="1:7" ht="11.25" customHeight="1">
      <c r="A69" t="s">
        <v>14</v>
      </c>
      <c r="B69" t="s">
        <v>2702</v>
      </c>
      <c r="C69" t="s">
        <v>2703</v>
      </c>
      <c r="D69" t="s">
        <v>2704</v>
      </c>
      <c r="E69" t="s">
        <v>2705</v>
      </c>
      <c r="F69" t="s">
        <v>2565</v>
      </c>
      <c r="G69" t="s">
        <v>1565</v>
      </c>
    </row>
    <row r="70" spans="1:7" ht="11.25" customHeight="1">
      <c r="A70" t="s">
        <v>14</v>
      </c>
      <c r="B70" t="s">
        <v>2702</v>
      </c>
      <c r="C70" t="s">
        <v>2703</v>
      </c>
      <c r="D70" t="s">
        <v>2706</v>
      </c>
      <c r="E70" t="s">
        <v>2707</v>
      </c>
      <c r="F70" t="s">
        <v>2565</v>
      </c>
      <c r="G70" t="s">
        <v>2708</v>
      </c>
    </row>
    <row r="71" spans="1:7" ht="11.25" customHeight="1">
      <c r="A71" t="s">
        <v>14</v>
      </c>
      <c r="B71" t="s">
        <v>2702</v>
      </c>
      <c r="C71" t="s">
        <v>2703</v>
      </c>
      <c r="D71" t="s">
        <v>2709</v>
      </c>
      <c r="E71" t="s">
        <v>2710</v>
      </c>
      <c r="F71" t="s">
        <v>2565</v>
      </c>
      <c r="G71" t="s">
        <v>2711</v>
      </c>
    </row>
    <row r="72" spans="1:7" ht="11.25" customHeight="1">
      <c r="A72" t="s">
        <v>14</v>
      </c>
      <c r="B72" t="s">
        <v>2702</v>
      </c>
      <c r="C72" t="s">
        <v>2703</v>
      </c>
      <c r="D72" t="s">
        <v>2712</v>
      </c>
      <c r="E72" t="s">
        <v>2713</v>
      </c>
      <c r="F72" t="s">
        <v>2565</v>
      </c>
      <c r="G72" t="s">
        <v>2714</v>
      </c>
    </row>
    <row r="73" spans="1:7" ht="11.25" customHeight="1">
      <c r="A73" t="s">
        <v>14</v>
      </c>
      <c r="B73" t="s">
        <v>2702</v>
      </c>
      <c r="C73" t="s">
        <v>2703</v>
      </c>
      <c r="D73" t="s">
        <v>2702</v>
      </c>
      <c r="E73" t="s">
        <v>2703</v>
      </c>
      <c r="F73" t="s">
        <v>2562</v>
      </c>
      <c r="G73" t="s">
        <v>2715</v>
      </c>
    </row>
    <row r="74" spans="1:7" ht="11.25" customHeight="1">
      <c r="A74" t="s">
        <v>14</v>
      </c>
      <c r="B74" t="s">
        <v>2702</v>
      </c>
      <c r="C74" t="s">
        <v>2703</v>
      </c>
      <c r="D74" t="s">
        <v>2716</v>
      </c>
      <c r="E74" t="s">
        <v>2717</v>
      </c>
      <c r="F74" t="s">
        <v>2565</v>
      </c>
      <c r="G74" t="s">
        <v>2718</v>
      </c>
    </row>
    <row r="75" spans="1:7" ht="11.25" customHeight="1">
      <c r="A75" t="s">
        <v>14</v>
      </c>
      <c r="B75" t="s">
        <v>2702</v>
      </c>
      <c r="C75" t="s">
        <v>2703</v>
      </c>
      <c r="D75" t="s">
        <v>2719</v>
      </c>
      <c r="E75" t="s">
        <v>2720</v>
      </c>
      <c r="F75" t="s">
        <v>2565</v>
      </c>
      <c r="G75" t="s">
        <v>2721</v>
      </c>
    </row>
    <row r="76" spans="1:7" ht="11.25" customHeight="1">
      <c r="A76" t="s">
        <v>14</v>
      </c>
      <c r="B76" t="s">
        <v>2702</v>
      </c>
      <c r="C76" t="s">
        <v>2703</v>
      </c>
      <c r="D76" t="s">
        <v>2722</v>
      </c>
      <c r="E76" t="s">
        <v>2723</v>
      </c>
      <c r="F76" t="s">
        <v>2565</v>
      </c>
      <c r="G76" t="s">
        <v>2724</v>
      </c>
    </row>
    <row r="77" spans="1:7" ht="11.25" customHeight="1">
      <c r="A77" t="s">
        <v>14</v>
      </c>
      <c r="B77" t="s">
        <v>2702</v>
      </c>
      <c r="C77" t="s">
        <v>2703</v>
      </c>
      <c r="D77" t="s">
        <v>2725</v>
      </c>
      <c r="E77" t="s">
        <v>2726</v>
      </c>
      <c r="F77" t="s">
        <v>2565</v>
      </c>
      <c r="G77" t="s">
        <v>2727</v>
      </c>
    </row>
    <row r="78" spans="1:7" ht="11.25" customHeight="1">
      <c r="A78" t="s">
        <v>14</v>
      </c>
      <c r="B78" t="s">
        <v>2702</v>
      </c>
      <c r="C78" t="s">
        <v>2703</v>
      </c>
      <c r="D78" t="s">
        <v>2728</v>
      </c>
      <c r="E78" t="s">
        <v>2729</v>
      </c>
      <c r="F78" t="s">
        <v>2565</v>
      </c>
      <c r="G78" t="s">
        <v>2730</v>
      </c>
    </row>
    <row r="79" spans="1:7" ht="11.25" customHeight="1">
      <c r="A79" t="s">
        <v>14</v>
      </c>
      <c r="B79" t="s">
        <v>2702</v>
      </c>
      <c r="C79" t="s">
        <v>2703</v>
      </c>
      <c r="D79" t="s">
        <v>2731</v>
      </c>
      <c r="E79" t="s">
        <v>2732</v>
      </c>
      <c r="F79" t="s">
        <v>2565</v>
      </c>
      <c r="G79" t="s">
        <v>2733</v>
      </c>
    </row>
    <row r="80" spans="1:7" ht="11.25" customHeight="1">
      <c r="A80" t="s">
        <v>14</v>
      </c>
      <c r="B80" t="s">
        <v>2702</v>
      </c>
      <c r="C80" t="s">
        <v>2703</v>
      </c>
      <c r="D80" t="s">
        <v>2734</v>
      </c>
      <c r="E80" t="s">
        <v>2735</v>
      </c>
      <c r="F80" t="s">
        <v>2565</v>
      </c>
      <c r="G80" t="s">
        <v>2736</v>
      </c>
    </row>
    <row r="81" spans="1:7" ht="11.25" customHeight="1">
      <c r="A81" t="s">
        <v>14</v>
      </c>
      <c r="B81" t="s">
        <v>2702</v>
      </c>
      <c r="C81" t="s">
        <v>2703</v>
      </c>
      <c r="D81" t="s">
        <v>2737</v>
      </c>
      <c r="E81" t="s">
        <v>2738</v>
      </c>
      <c r="F81" t="s">
        <v>2565</v>
      </c>
      <c r="G81" t="s">
        <v>2739</v>
      </c>
    </row>
    <row r="82" spans="1:7" ht="11.25" customHeight="1">
      <c r="A82" t="s">
        <v>14</v>
      </c>
      <c r="B82" t="s">
        <v>2702</v>
      </c>
      <c r="C82" t="s">
        <v>2703</v>
      </c>
      <c r="D82" t="s">
        <v>2740</v>
      </c>
      <c r="E82" t="s">
        <v>2741</v>
      </c>
      <c r="F82" t="s">
        <v>2742</v>
      </c>
      <c r="G82" t="s">
        <v>2743</v>
      </c>
    </row>
    <row r="83" spans="1:7" ht="11.25" customHeight="1">
      <c r="A83" t="s">
        <v>14</v>
      </c>
      <c r="B83" t="s">
        <v>2744</v>
      </c>
      <c r="C83" t="s">
        <v>2745</v>
      </c>
      <c r="D83" t="s">
        <v>2744</v>
      </c>
      <c r="E83" t="s">
        <v>2745</v>
      </c>
      <c r="F83" t="s">
        <v>2559</v>
      </c>
      <c r="G83" t="s">
        <v>2746</v>
      </c>
    </row>
    <row r="84" spans="1:7" ht="11.25" customHeight="1">
      <c r="A84" t="s">
        <v>14</v>
      </c>
      <c r="B84" t="s">
        <v>2747</v>
      </c>
      <c r="C84" t="s">
        <v>2748</v>
      </c>
      <c r="D84" t="s">
        <v>2749</v>
      </c>
      <c r="E84" t="s">
        <v>2750</v>
      </c>
      <c r="F84" t="s">
        <v>2565</v>
      </c>
      <c r="G84" t="s">
        <v>2751</v>
      </c>
    </row>
    <row r="85" spans="1:7" ht="11.25" customHeight="1">
      <c r="A85" t="s">
        <v>14</v>
      </c>
      <c r="B85" t="s">
        <v>2747</v>
      </c>
      <c r="C85" t="s">
        <v>2748</v>
      </c>
      <c r="D85" t="s">
        <v>2752</v>
      </c>
      <c r="E85" t="s">
        <v>2753</v>
      </c>
      <c r="F85" t="s">
        <v>2565</v>
      </c>
      <c r="G85" t="s">
        <v>2754</v>
      </c>
    </row>
    <row r="86" spans="1:7" ht="11.25" customHeight="1">
      <c r="A86" t="s">
        <v>14</v>
      </c>
      <c r="B86" t="s">
        <v>2747</v>
      </c>
      <c r="C86" t="s">
        <v>2748</v>
      </c>
      <c r="D86" t="s">
        <v>2755</v>
      </c>
      <c r="E86" t="s">
        <v>2756</v>
      </c>
      <c r="F86" t="s">
        <v>2565</v>
      </c>
      <c r="G86" t="s">
        <v>2757</v>
      </c>
    </row>
    <row r="87" spans="1:7" ht="11.25" customHeight="1">
      <c r="A87" t="s">
        <v>14</v>
      </c>
      <c r="B87" t="s">
        <v>2747</v>
      </c>
      <c r="C87" t="s">
        <v>2748</v>
      </c>
      <c r="D87" t="s">
        <v>2758</v>
      </c>
      <c r="E87" t="s">
        <v>2759</v>
      </c>
      <c r="F87" t="s">
        <v>2565</v>
      </c>
      <c r="G87" t="s">
        <v>2760</v>
      </c>
    </row>
    <row r="88" spans="1:7" ht="11.25" customHeight="1">
      <c r="A88" t="s">
        <v>14</v>
      </c>
      <c r="B88" t="s">
        <v>2747</v>
      </c>
      <c r="C88" t="s">
        <v>2748</v>
      </c>
      <c r="D88" t="s">
        <v>2761</v>
      </c>
      <c r="E88" t="s">
        <v>2762</v>
      </c>
      <c r="F88" t="s">
        <v>2565</v>
      </c>
      <c r="G88" t="s">
        <v>2763</v>
      </c>
    </row>
    <row r="89" spans="1:7" ht="11.25" customHeight="1">
      <c r="A89" t="s">
        <v>14</v>
      </c>
      <c r="B89" t="s">
        <v>2747</v>
      </c>
      <c r="C89" t="s">
        <v>2748</v>
      </c>
      <c r="D89" t="s">
        <v>2747</v>
      </c>
      <c r="E89" t="s">
        <v>2748</v>
      </c>
      <c r="F89" t="s">
        <v>2562</v>
      </c>
      <c r="G89" t="s">
        <v>2764</v>
      </c>
    </row>
    <row r="90" spans="1:7" ht="11.25" customHeight="1">
      <c r="A90" t="s">
        <v>14</v>
      </c>
      <c r="B90" t="s">
        <v>2747</v>
      </c>
      <c r="C90" t="s">
        <v>2748</v>
      </c>
      <c r="D90" t="s">
        <v>2765</v>
      </c>
      <c r="E90" t="s">
        <v>2766</v>
      </c>
      <c r="F90" t="s">
        <v>2565</v>
      </c>
      <c r="G90" t="s">
        <v>2767</v>
      </c>
    </row>
    <row r="91" spans="1:7" ht="11.25" customHeight="1">
      <c r="A91" t="s">
        <v>14</v>
      </c>
      <c r="B91" t="s">
        <v>2747</v>
      </c>
      <c r="C91" t="s">
        <v>2748</v>
      </c>
      <c r="D91" t="s">
        <v>2768</v>
      </c>
      <c r="E91" t="s">
        <v>2769</v>
      </c>
      <c r="F91" t="s">
        <v>2565</v>
      </c>
      <c r="G91" t="s">
        <v>2770</v>
      </c>
    </row>
    <row r="92" spans="1:7" ht="11.25" customHeight="1">
      <c r="A92" t="s">
        <v>14</v>
      </c>
      <c r="B92" t="s">
        <v>2747</v>
      </c>
      <c r="C92" t="s">
        <v>2748</v>
      </c>
      <c r="D92" t="s">
        <v>2771</v>
      </c>
      <c r="E92" t="s">
        <v>2772</v>
      </c>
      <c r="F92" t="s">
        <v>2565</v>
      </c>
      <c r="G92" t="s">
        <v>2773</v>
      </c>
    </row>
    <row r="93" spans="1:7" ht="11.25" customHeight="1">
      <c r="A93" t="s">
        <v>14</v>
      </c>
      <c r="B93" t="s">
        <v>2747</v>
      </c>
      <c r="C93" t="s">
        <v>2748</v>
      </c>
      <c r="D93" t="s">
        <v>2675</v>
      </c>
      <c r="E93" t="s">
        <v>2774</v>
      </c>
      <c r="F93" t="s">
        <v>2565</v>
      </c>
      <c r="G93" t="s">
        <v>2775</v>
      </c>
    </row>
    <row r="94" spans="1:7" ht="11.25" customHeight="1">
      <c r="A94" t="s">
        <v>14</v>
      </c>
      <c r="B94" t="s">
        <v>2747</v>
      </c>
      <c r="C94" t="s">
        <v>2748</v>
      </c>
      <c r="D94" t="s">
        <v>2776</v>
      </c>
      <c r="E94" t="s">
        <v>2777</v>
      </c>
      <c r="F94" t="s">
        <v>2565</v>
      </c>
      <c r="G94" t="s">
        <v>2778</v>
      </c>
    </row>
    <row r="95" spans="1:7" ht="11.25" customHeight="1">
      <c r="A95" t="s">
        <v>14</v>
      </c>
      <c r="B95" t="s">
        <v>2747</v>
      </c>
      <c r="C95" t="s">
        <v>2748</v>
      </c>
      <c r="D95" t="s">
        <v>2779</v>
      </c>
      <c r="E95" t="s">
        <v>2780</v>
      </c>
      <c r="F95" t="s">
        <v>2565</v>
      </c>
      <c r="G95" t="s">
        <v>2781</v>
      </c>
    </row>
    <row r="96" spans="1:7" ht="11.25" customHeight="1">
      <c r="A96" t="s">
        <v>14</v>
      </c>
      <c r="B96" t="s">
        <v>2747</v>
      </c>
      <c r="C96" t="s">
        <v>2748</v>
      </c>
      <c r="D96" t="s">
        <v>2782</v>
      </c>
      <c r="E96" t="s">
        <v>2783</v>
      </c>
      <c r="F96" t="s">
        <v>2565</v>
      </c>
      <c r="G96" t="s">
        <v>2784</v>
      </c>
    </row>
    <row r="97" spans="1:7" ht="11.25" customHeight="1">
      <c r="A97" t="s">
        <v>14</v>
      </c>
      <c r="B97" t="s">
        <v>2747</v>
      </c>
      <c r="C97" t="s">
        <v>2748</v>
      </c>
      <c r="D97" t="s">
        <v>2785</v>
      </c>
      <c r="E97" t="s">
        <v>2786</v>
      </c>
      <c r="F97" t="s">
        <v>2565</v>
      </c>
      <c r="G97" t="s">
        <v>2787</v>
      </c>
    </row>
    <row r="98" spans="1:7" ht="11.25" customHeight="1">
      <c r="A98" t="s">
        <v>14</v>
      </c>
      <c r="B98" t="s">
        <v>2747</v>
      </c>
      <c r="C98" t="s">
        <v>2748</v>
      </c>
      <c r="D98" t="s">
        <v>2788</v>
      </c>
      <c r="E98" t="s">
        <v>2789</v>
      </c>
      <c r="F98" t="s">
        <v>2565</v>
      </c>
      <c r="G98" t="s">
        <v>2790</v>
      </c>
    </row>
    <row r="99" spans="1:7" ht="11.25" customHeight="1">
      <c r="A99" t="s">
        <v>14</v>
      </c>
      <c r="B99" t="s">
        <v>2747</v>
      </c>
      <c r="C99" t="s">
        <v>2748</v>
      </c>
      <c r="D99" t="s">
        <v>2791</v>
      </c>
      <c r="E99" t="s">
        <v>2792</v>
      </c>
      <c r="F99" t="s">
        <v>2608</v>
      </c>
      <c r="G99" t="s">
        <v>2793</v>
      </c>
    </row>
    <row r="100" spans="1:7" ht="11.25" customHeight="1">
      <c r="A100" t="s">
        <v>14</v>
      </c>
      <c r="B100" t="s">
        <v>2794</v>
      </c>
      <c r="C100" t="s">
        <v>2795</v>
      </c>
      <c r="D100" t="s">
        <v>2796</v>
      </c>
      <c r="E100" t="s">
        <v>2797</v>
      </c>
      <c r="F100" t="s">
        <v>2565</v>
      </c>
      <c r="G100" t="s">
        <v>2798</v>
      </c>
    </row>
    <row r="101" spans="1:7" ht="11.25" customHeight="1">
      <c r="A101" t="s">
        <v>14</v>
      </c>
      <c r="B101" t="s">
        <v>2794</v>
      </c>
      <c r="C101" t="s">
        <v>2795</v>
      </c>
      <c r="D101" t="s">
        <v>2799</v>
      </c>
      <c r="E101" t="s">
        <v>2800</v>
      </c>
      <c r="F101" t="s">
        <v>2565</v>
      </c>
      <c r="G101" t="s">
        <v>2801</v>
      </c>
    </row>
    <row r="102" spans="1:7" ht="11.25" customHeight="1">
      <c r="A102" t="s">
        <v>14</v>
      </c>
      <c r="B102" t="s">
        <v>2794</v>
      </c>
      <c r="C102" t="s">
        <v>2795</v>
      </c>
      <c r="D102" t="s">
        <v>2802</v>
      </c>
      <c r="E102" t="s">
        <v>2803</v>
      </c>
      <c r="F102" t="s">
        <v>2565</v>
      </c>
      <c r="G102" t="s">
        <v>2804</v>
      </c>
    </row>
    <row r="103" spans="1:7" ht="11.25" customHeight="1">
      <c r="A103" t="s">
        <v>14</v>
      </c>
      <c r="B103" t="s">
        <v>2794</v>
      </c>
      <c r="C103" t="s">
        <v>2795</v>
      </c>
      <c r="D103" t="s">
        <v>2805</v>
      </c>
      <c r="E103" t="s">
        <v>2806</v>
      </c>
      <c r="F103" t="s">
        <v>2565</v>
      </c>
      <c r="G103" t="s">
        <v>2807</v>
      </c>
    </row>
    <row r="104" spans="1:7" ht="11.25" customHeight="1">
      <c r="A104" t="s">
        <v>14</v>
      </c>
      <c r="B104" t="s">
        <v>2794</v>
      </c>
      <c r="C104" t="s">
        <v>2795</v>
      </c>
      <c r="D104" t="s">
        <v>2808</v>
      </c>
      <c r="E104" t="s">
        <v>2809</v>
      </c>
      <c r="F104" t="s">
        <v>2565</v>
      </c>
      <c r="G104" t="s">
        <v>2810</v>
      </c>
    </row>
    <row r="105" spans="1:7" ht="11.25" customHeight="1">
      <c r="A105" t="s">
        <v>14</v>
      </c>
      <c r="B105" t="s">
        <v>2794</v>
      </c>
      <c r="C105" t="s">
        <v>2795</v>
      </c>
      <c r="D105" t="s">
        <v>2811</v>
      </c>
      <c r="E105" t="s">
        <v>2812</v>
      </c>
      <c r="F105" t="s">
        <v>2565</v>
      </c>
      <c r="G105" t="s">
        <v>2813</v>
      </c>
    </row>
    <row r="106" spans="1:7" ht="11.25" customHeight="1">
      <c r="A106" t="s">
        <v>14</v>
      </c>
      <c r="B106" t="s">
        <v>2794</v>
      </c>
      <c r="C106" t="s">
        <v>2795</v>
      </c>
      <c r="D106" t="s">
        <v>2814</v>
      </c>
      <c r="E106" t="s">
        <v>2815</v>
      </c>
      <c r="F106" t="s">
        <v>2565</v>
      </c>
      <c r="G106" t="s">
        <v>2816</v>
      </c>
    </row>
    <row r="107" spans="1:7" ht="11.25" customHeight="1">
      <c r="A107" t="s">
        <v>14</v>
      </c>
      <c r="B107" t="s">
        <v>2794</v>
      </c>
      <c r="C107" t="s">
        <v>2795</v>
      </c>
      <c r="D107" t="s">
        <v>2817</v>
      </c>
      <c r="E107" t="s">
        <v>2818</v>
      </c>
      <c r="F107" t="s">
        <v>2565</v>
      </c>
      <c r="G107" t="s">
        <v>2819</v>
      </c>
    </row>
    <row r="108" spans="1:7" ht="11.25" customHeight="1">
      <c r="A108" t="s">
        <v>14</v>
      </c>
      <c r="B108" t="s">
        <v>2794</v>
      </c>
      <c r="C108" t="s">
        <v>2795</v>
      </c>
      <c r="D108" t="s">
        <v>2820</v>
      </c>
      <c r="E108" t="s">
        <v>2821</v>
      </c>
      <c r="F108" t="s">
        <v>2565</v>
      </c>
      <c r="G108" t="s">
        <v>2822</v>
      </c>
    </row>
    <row r="109" spans="1:7" ht="11.25" customHeight="1">
      <c r="A109" t="s">
        <v>14</v>
      </c>
      <c r="B109" t="s">
        <v>2794</v>
      </c>
      <c r="C109" t="s">
        <v>2795</v>
      </c>
      <c r="D109" t="s">
        <v>2794</v>
      </c>
      <c r="E109" t="s">
        <v>2795</v>
      </c>
      <c r="F109" t="s">
        <v>2562</v>
      </c>
      <c r="G109" t="s">
        <v>2823</v>
      </c>
    </row>
    <row r="110" spans="1:7" ht="11.25" customHeight="1">
      <c r="A110" t="s">
        <v>14</v>
      </c>
      <c r="B110" t="s">
        <v>2794</v>
      </c>
      <c r="C110" t="s">
        <v>2795</v>
      </c>
      <c r="D110" t="s">
        <v>2824</v>
      </c>
      <c r="E110" t="s">
        <v>2825</v>
      </c>
      <c r="F110" t="s">
        <v>2565</v>
      </c>
      <c r="G110" t="s">
        <v>2826</v>
      </c>
    </row>
    <row r="111" spans="1:7" ht="11.25" customHeight="1">
      <c r="A111" t="s">
        <v>14</v>
      </c>
      <c r="B111" t="s">
        <v>2794</v>
      </c>
      <c r="C111" t="s">
        <v>2795</v>
      </c>
      <c r="D111" t="s">
        <v>2827</v>
      </c>
      <c r="E111" t="s">
        <v>2828</v>
      </c>
      <c r="F111" t="s">
        <v>2565</v>
      </c>
      <c r="G111" t="s">
        <v>2829</v>
      </c>
    </row>
    <row r="112" spans="1:7" ht="11.25" customHeight="1">
      <c r="A112" t="s">
        <v>14</v>
      </c>
      <c r="B112" t="s">
        <v>2794</v>
      </c>
      <c r="C112" t="s">
        <v>2795</v>
      </c>
      <c r="D112" t="s">
        <v>2830</v>
      </c>
      <c r="E112" t="s">
        <v>2831</v>
      </c>
      <c r="F112" t="s">
        <v>2565</v>
      </c>
      <c r="G112" t="s">
        <v>2832</v>
      </c>
    </row>
    <row r="113" spans="1:7" ht="11.25" customHeight="1">
      <c r="A113" t="s">
        <v>14</v>
      </c>
      <c r="B113" t="s">
        <v>2794</v>
      </c>
      <c r="C113" t="s">
        <v>2795</v>
      </c>
      <c r="D113" t="s">
        <v>2833</v>
      </c>
      <c r="E113" t="s">
        <v>2834</v>
      </c>
      <c r="F113" t="s">
        <v>2565</v>
      </c>
      <c r="G113" t="s">
        <v>2835</v>
      </c>
    </row>
    <row r="114" spans="1:7" ht="11.25" customHeight="1">
      <c r="A114" t="s">
        <v>14</v>
      </c>
      <c r="B114" t="s">
        <v>2794</v>
      </c>
      <c r="C114" t="s">
        <v>2795</v>
      </c>
      <c r="D114" t="s">
        <v>2836</v>
      </c>
      <c r="E114" t="s">
        <v>2837</v>
      </c>
      <c r="F114" t="s">
        <v>2565</v>
      </c>
      <c r="G114" t="s">
        <v>2838</v>
      </c>
    </row>
    <row r="115" spans="1:7" ht="11.25" customHeight="1">
      <c r="A115" t="s">
        <v>14</v>
      </c>
      <c r="B115" t="s">
        <v>2794</v>
      </c>
      <c r="C115" t="s">
        <v>2795</v>
      </c>
      <c r="D115" t="s">
        <v>2839</v>
      </c>
      <c r="E115" t="s">
        <v>2840</v>
      </c>
      <c r="F115" t="s">
        <v>2565</v>
      </c>
      <c r="G115" t="s">
        <v>2841</v>
      </c>
    </row>
    <row r="116" spans="1:7" ht="11.25" customHeight="1">
      <c r="A116" t="s">
        <v>14</v>
      </c>
      <c r="B116" t="s">
        <v>2794</v>
      </c>
      <c r="C116" t="s">
        <v>2795</v>
      </c>
      <c r="D116" t="s">
        <v>2842</v>
      </c>
      <c r="E116" t="s">
        <v>2843</v>
      </c>
      <c r="F116" t="s">
        <v>2565</v>
      </c>
      <c r="G116" t="s">
        <v>2844</v>
      </c>
    </row>
    <row r="117" spans="1:7" ht="11.25" customHeight="1">
      <c r="A117" t="s">
        <v>14</v>
      </c>
      <c r="B117" t="s">
        <v>2794</v>
      </c>
      <c r="C117" t="s">
        <v>2795</v>
      </c>
      <c r="D117" t="s">
        <v>2845</v>
      </c>
      <c r="E117" t="s">
        <v>2846</v>
      </c>
      <c r="F117" t="s">
        <v>2565</v>
      </c>
      <c r="G117" t="s">
        <v>2847</v>
      </c>
    </row>
    <row r="118" spans="1:7" ht="11.25" customHeight="1">
      <c r="A118" t="s">
        <v>14</v>
      </c>
      <c r="B118" t="s">
        <v>2794</v>
      </c>
      <c r="C118" t="s">
        <v>2795</v>
      </c>
      <c r="D118" t="s">
        <v>2848</v>
      </c>
      <c r="E118" t="s">
        <v>2849</v>
      </c>
      <c r="F118" t="s">
        <v>2565</v>
      </c>
      <c r="G118" t="s">
        <v>2850</v>
      </c>
    </row>
    <row r="119" spans="1:7" ht="11.25" customHeight="1">
      <c r="A119" t="s">
        <v>14</v>
      </c>
      <c r="B119" t="s">
        <v>2794</v>
      </c>
      <c r="C119" t="s">
        <v>2795</v>
      </c>
      <c r="D119" t="s">
        <v>2851</v>
      </c>
      <c r="E119" t="s">
        <v>2852</v>
      </c>
      <c r="F119" t="s">
        <v>2565</v>
      </c>
      <c r="G119" t="s">
        <v>2853</v>
      </c>
    </row>
    <row r="120" spans="1:7" ht="11.25" customHeight="1">
      <c r="A120" t="s">
        <v>14</v>
      </c>
      <c r="B120" t="s">
        <v>2794</v>
      </c>
      <c r="C120" t="s">
        <v>2795</v>
      </c>
      <c r="D120" t="s">
        <v>2854</v>
      </c>
      <c r="E120" t="s">
        <v>2855</v>
      </c>
      <c r="F120" t="s">
        <v>2565</v>
      </c>
      <c r="G120" t="s">
        <v>2856</v>
      </c>
    </row>
    <row r="121" spans="1:7" ht="11.25" customHeight="1">
      <c r="A121" t="s">
        <v>14</v>
      </c>
      <c r="B121" t="s">
        <v>2794</v>
      </c>
      <c r="C121" t="s">
        <v>2795</v>
      </c>
      <c r="D121" t="s">
        <v>2857</v>
      </c>
      <c r="E121" t="s">
        <v>2858</v>
      </c>
      <c r="F121" t="s">
        <v>2565</v>
      </c>
      <c r="G121" t="s">
        <v>2859</v>
      </c>
    </row>
    <row r="122" spans="1:7" ht="11.25" customHeight="1">
      <c r="A122" t="s">
        <v>14</v>
      </c>
      <c r="B122" t="s">
        <v>2794</v>
      </c>
      <c r="C122" t="s">
        <v>2795</v>
      </c>
      <c r="D122" t="s">
        <v>2860</v>
      </c>
      <c r="E122" t="s">
        <v>2861</v>
      </c>
      <c r="F122" t="s">
        <v>2565</v>
      </c>
      <c r="G122" t="s">
        <v>2862</v>
      </c>
    </row>
    <row r="123" spans="1:7" ht="11.25" customHeight="1">
      <c r="A123" t="s">
        <v>14</v>
      </c>
      <c r="B123" t="s">
        <v>2794</v>
      </c>
      <c r="C123" t="s">
        <v>2795</v>
      </c>
      <c r="D123" t="s">
        <v>2863</v>
      </c>
      <c r="E123" t="s">
        <v>2864</v>
      </c>
      <c r="F123" t="s">
        <v>2742</v>
      </c>
      <c r="G123" t="s">
        <v>2865</v>
      </c>
    </row>
    <row r="124" spans="1:7" ht="11.25" customHeight="1">
      <c r="A124" t="s">
        <v>14</v>
      </c>
      <c r="B124" t="s">
        <v>2866</v>
      </c>
      <c r="C124" t="s">
        <v>2867</v>
      </c>
      <c r="D124" t="s">
        <v>2868</v>
      </c>
      <c r="E124" t="s">
        <v>2869</v>
      </c>
      <c r="F124" t="s">
        <v>2565</v>
      </c>
      <c r="G124" t="s">
        <v>2870</v>
      </c>
    </row>
    <row r="125" spans="1:7" ht="11.25" customHeight="1">
      <c r="A125" t="s">
        <v>14</v>
      </c>
      <c r="B125" t="s">
        <v>2866</v>
      </c>
      <c r="C125" t="s">
        <v>2867</v>
      </c>
      <c r="D125" t="s">
        <v>2871</v>
      </c>
      <c r="E125" t="s">
        <v>2872</v>
      </c>
      <c r="F125" t="s">
        <v>2565</v>
      </c>
      <c r="G125" t="s">
        <v>2873</v>
      </c>
    </row>
    <row r="126" spans="1:7" ht="11.25" customHeight="1">
      <c r="A126" t="s">
        <v>14</v>
      </c>
      <c r="B126" t="s">
        <v>2866</v>
      </c>
      <c r="C126" t="s">
        <v>2867</v>
      </c>
      <c r="D126" t="s">
        <v>2874</v>
      </c>
      <c r="E126" t="s">
        <v>2875</v>
      </c>
      <c r="F126" t="s">
        <v>2565</v>
      </c>
      <c r="G126" t="s">
        <v>2876</v>
      </c>
    </row>
    <row r="127" spans="1:7" ht="11.25" customHeight="1">
      <c r="A127" t="s">
        <v>14</v>
      </c>
      <c r="B127" t="s">
        <v>2866</v>
      </c>
      <c r="C127" t="s">
        <v>2867</v>
      </c>
      <c r="D127" t="s">
        <v>2877</v>
      </c>
      <c r="E127" t="s">
        <v>2878</v>
      </c>
      <c r="F127" t="s">
        <v>2565</v>
      </c>
      <c r="G127" t="s">
        <v>2879</v>
      </c>
    </row>
    <row r="128" spans="1:7" ht="11.25" customHeight="1">
      <c r="A128" t="s">
        <v>14</v>
      </c>
      <c r="B128" t="s">
        <v>2866</v>
      </c>
      <c r="C128" t="s">
        <v>2867</v>
      </c>
      <c r="D128" t="s">
        <v>2866</v>
      </c>
      <c r="E128" t="s">
        <v>2867</v>
      </c>
      <c r="F128" t="s">
        <v>2562</v>
      </c>
      <c r="G128" t="s">
        <v>2880</v>
      </c>
    </row>
    <row r="129" spans="1:7" ht="11.25" customHeight="1">
      <c r="A129" t="s">
        <v>14</v>
      </c>
      <c r="B129" t="s">
        <v>2866</v>
      </c>
      <c r="C129" t="s">
        <v>2867</v>
      </c>
      <c r="D129" t="s">
        <v>2881</v>
      </c>
      <c r="E129" t="s">
        <v>2882</v>
      </c>
      <c r="F129" t="s">
        <v>2565</v>
      </c>
      <c r="G129" t="s">
        <v>2883</v>
      </c>
    </row>
    <row r="130" spans="1:7" ht="11.25" customHeight="1">
      <c r="A130" t="s">
        <v>14</v>
      </c>
      <c r="B130" t="s">
        <v>2866</v>
      </c>
      <c r="C130" t="s">
        <v>2867</v>
      </c>
      <c r="D130" t="s">
        <v>2884</v>
      </c>
      <c r="E130" t="s">
        <v>2885</v>
      </c>
      <c r="F130" t="s">
        <v>2565</v>
      </c>
      <c r="G130" t="s">
        <v>2886</v>
      </c>
    </row>
    <row r="131" spans="1:7" ht="11.25" customHeight="1">
      <c r="A131" t="s">
        <v>14</v>
      </c>
      <c r="B131" t="s">
        <v>2866</v>
      </c>
      <c r="C131" t="s">
        <v>2867</v>
      </c>
      <c r="D131" t="s">
        <v>2887</v>
      </c>
      <c r="E131" t="s">
        <v>2888</v>
      </c>
      <c r="F131" t="s">
        <v>2565</v>
      </c>
      <c r="G131" t="s">
        <v>2889</v>
      </c>
    </row>
    <row r="132" spans="1:7" ht="11.25" customHeight="1">
      <c r="A132" t="s">
        <v>14</v>
      </c>
      <c r="B132" t="s">
        <v>2866</v>
      </c>
      <c r="C132" t="s">
        <v>2867</v>
      </c>
      <c r="D132" t="s">
        <v>2890</v>
      </c>
      <c r="E132" t="s">
        <v>2891</v>
      </c>
      <c r="F132" t="s">
        <v>2565</v>
      </c>
      <c r="G132" t="s">
        <v>2892</v>
      </c>
    </row>
    <row r="133" spans="1:7" ht="11.25" customHeight="1">
      <c r="A133" t="s">
        <v>14</v>
      </c>
      <c r="B133" t="s">
        <v>2866</v>
      </c>
      <c r="C133" t="s">
        <v>2867</v>
      </c>
      <c r="D133" t="s">
        <v>2893</v>
      </c>
      <c r="E133" t="s">
        <v>2894</v>
      </c>
      <c r="F133" t="s">
        <v>2565</v>
      </c>
      <c r="G133" t="s">
        <v>2895</v>
      </c>
    </row>
    <row r="134" spans="1:7" ht="11.25" customHeight="1">
      <c r="A134" t="s">
        <v>14</v>
      </c>
      <c r="B134" t="s">
        <v>2866</v>
      </c>
      <c r="C134" t="s">
        <v>2867</v>
      </c>
      <c r="D134" t="s">
        <v>2896</v>
      </c>
      <c r="E134" t="s">
        <v>2897</v>
      </c>
      <c r="F134" t="s">
        <v>2565</v>
      </c>
      <c r="G134" t="s">
        <v>2898</v>
      </c>
    </row>
    <row r="135" spans="1:7" ht="11.25" customHeight="1">
      <c r="A135" t="s">
        <v>14</v>
      </c>
      <c r="B135" t="s">
        <v>2899</v>
      </c>
      <c r="C135" t="s">
        <v>2900</v>
      </c>
      <c r="D135" t="s">
        <v>2901</v>
      </c>
      <c r="E135" t="s">
        <v>2902</v>
      </c>
      <c r="F135" t="s">
        <v>2565</v>
      </c>
      <c r="G135" t="s">
        <v>2903</v>
      </c>
    </row>
    <row r="136" spans="1:7" ht="11.25" customHeight="1">
      <c r="A136" t="s">
        <v>14</v>
      </c>
      <c r="B136" t="s">
        <v>2899</v>
      </c>
      <c r="C136" t="s">
        <v>2900</v>
      </c>
      <c r="D136" t="s">
        <v>2904</v>
      </c>
      <c r="E136" t="s">
        <v>2905</v>
      </c>
      <c r="F136" t="s">
        <v>2565</v>
      </c>
      <c r="G136" t="s">
        <v>2906</v>
      </c>
    </row>
    <row r="137" spans="1:7" ht="11.25" customHeight="1">
      <c r="A137" t="s">
        <v>14</v>
      </c>
      <c r="B137" t="s">
        <v>2899</v>
      </c>
      <c r="C137" t="s">
        <v>2900</v>
      </c>
      <c r="D137" t="s">
        <v>2907</v>
      </c>
      <c r="E137" t="s">
        <v>2908</v>
      </c>
      <c r="F137" t="s">
        <v>2565</v>
      </c>
      <c r="G137" t="s">
        <v>2909</v>
      </c>
    </row>
    <row r="138" spans="1:7" ht="11.25" customHeight="1">
      <c r="A138" t="s">
        <v>14</v>
      </c>
      <c r="B138" t="s">
        <v>2899</v>
      </c>
      <c r="C138" t="s">
        <v>2900</v>
      </c>
      <c r="D138" t="s">
        <v>2910</v>
      </c>
      <c r="E138" t="s">
        <v>2911</v>
      </c>
      <c r="F138" t="s">
        <v>2565</v>
      </c>
      <c r="G138" t="s">
        <v>2912</v>
      </c>
    </row>
    <row r="139" spans="1:7" ht="11.25" customHeight="1">
      <c r="A139" t="s">
        <v>14</v>
      </c>
      <c r="B139" t="s">
        <v>2899</v>
      </c>
      <c r="C139" t="s">
        <v>2900</v>
      </c>
      <c r="D139" t="s">
        <v>2913</v>
      </c>
      <c r="E139" t="s">
        <v>2914</v>
      </c>
      <c r="F139" t="s">
        <v>2565</v>
      </c>
      <c r="G139" t="s">
        <v>2915</v>
      </c>
    </row>
    <row r="140" spans="1:7" ht="11.25" customHeight="1">
      <c r="A140" t="s">
        <v>14</v>
      </c>
      <c r="B140" t="s">
        <v>2899</v>
      </c>
      <c r="C140" t="s">
        <v>2900</v>
      </c>
      <c r="D140" t="s">
        <v>2916</v>
      </c>
      <c r="E140" t="s">
        <v>2917</v>
      </c>
      <c r="F140" t="s">
        <v>2565</v>
      </c>
      <c r="G140" t="s">
        <v>2918</v>
      </c>
    </row>
    <row r="141" spans="1:7" ht="11.25" customHeight="1">
      <c r="A141" t="s">
        <v>14</v>
      </c>
      <c r="B141" t="s">
        <v>2899</v>
      </c>
      <c r="C141" t="s">
        <v>2900</v>
      </c>
      <c r="D141" t="s">
        <v>2919</v>
      </c>
      <c r="E141" t="s">
        <v>2920</v>
      </c>
      <c r="F141" t="s">
        <v>2565</v>
      </c>
      <c r="G141" t="s">
        <v>2921</v>
      </c>
    </row>
    <row r="142" spans="1:7" ht="11.25" customHeight="1">
      <c r="A142" t="s">
        <v>14</v>
      </c>
      <c r="B142" t="s">
        <v>2899</v>
      </c>
      <c r="C142" t="s">
        <v>2900</v>
      </c>
      <c r="D142" t="s">
        <v>2899</v>
      </c>
      <c r="E142" t="s">
        <v>2900</v>
      </c>
      <c r="F142" t="s">
        <v>2562</v>
      </c>
      <c r="G142" t="s">
        <v>2922</v>
      </c>
    </row>
    <row r="143" spans="1:7" ht="11.25" customHeight="1">
      <c r="A143" t="s">
        <v>14</v>
      </c>
      <c r="B143" t="s">
        <v>2899</v>
      </c>
      <c r="C143" t="s">
        <v>2900</v>
      </c>
      <c r="D143" t="s">
        <v>2923</v>
      </c>
      <c r="E143" t="s">
        <v>2924</v>
      </c>
      <c r="F143" t="s">
        <v>2565</v>
      </c>
      <c r="G143" t="s">
        <v>2925</v>
      </c>
    </row>
    <row r="144" spans="1:7" ht="11.25" customHeight="1">
      <c r="A144" t="s">
        <v>14</v>
      </c>
      <c r="B144" t="s">
        <v>2899</v>
      </c>
      <c r="C144" t="s">
        <v>2900</v>
      </c>
      <c r="D144" t="s">
        <v>2926</v>
      </c>
      <c r="E144" t="s">
        <v>2927</v>
      </c>
      <c r="F144" t="s">
        <v>2565</v>
      </c>
      <c r="G144" t="s">
        <v>2928</v>
      </c>
    </row>
    <row r="145" spans="1:7" ht="11.25" customHeight="1">
      <c r="A145" t="s">
        <v>14</v>
      </c>
      <c r="B145" t="s">
        <v>2899</v>
      </c>
      <c r="C145" t="s">
        <v>2900</v>
      </c>
      <c r="D145" t="s">
        <v>2929</v>
      </c>
      <c r="E145" t="s">
        <v>2930</v>
      </c>
      <c r="F145" t="s">
        <v>2565</v>
      </c>
      <c r="G145" t="s">
        <v>2931</v>
      </c>
    </row>
    <row r="146" spans="1:7" ht="11.25" customHeight="1">
      <c r="A146" t="s">
        <v>14</v>
      </c>
      <c r="B146" t="s">
        <v>2899</v>
      </c>
      <c r="C146" t="s">
        <v>2900</v>
      </c>
      <c r="D146" t="s">
        <v>2932</v>
      </c>
      <c r="E146" t="s">
        <v>2933</v>
      </c>
      <c r="F146" t="s">
        <v>2565</v>
      </c>
      <c r="G146" t="s">
        <v>2934</v>
      </c>
    </row>
    <row r="147" spans="1:7" ht="11.25" customHeight="1">
      <c r="A147" t="s">
        <v>14</v>
      </c>
      <c r="B147" t="s">
        <v>2899</v>
      </c>
      <c r="C147" t="s">
        <v>2900</v>
      </c>
      <c r="D147" t="s">
        <v>2935</v>
      </c>
      <c r="E147" t="s">
        <v>2936</v>
      </c>
      <c r="F147" t="s">
        <v>2565</v>
      </c>
      <c r="G147" t="s">
        <v>2937</v>
      </c>
    </row>
    <row r="148" spans="1:7" ht="11.25" customHeight="1">
      <c r="A148" t="s">
        <v>14</v>
      </c>
      <c r="B148" t="s">
        <v>2899</v>
      </c>
      <c r="C148" t="s">
        <v>2900</v>
      </c>
      <c r="D148" t="s">
        <v>2596</v>
      </c>
      <c r="E148" t="s">
        <v>2938</v>
      </c>
      <c r="F148" t="s">
        <v>2565</v>
      </c>
      <c r="G148" t="s">
        <v>2939</v>
      </c>
    </row>
    <row r="149" spans="1:7" ht="11.25" customHeight="1">
      <c r="A149" t="s">
        <v>14</v>
      </c>
      <c r="B149" t="s">
        <v>2899</v>
      </c>
      <c r="C149" t="s">
        <v>2900</v>
      </c>
      <c r="D149" t="s">
        <v>2940</v>
      </c>
      <c r="E149" t="s">
        <v>2941</v>
      </c>
      <c r="F149" t="s">
        <v>2565</v>
      </c>
      <c r="G149" t="s">
        <v>2942</v>
      </c>
    </row>
    <row r="150" spans="1:7" ht="11.25" customHeight="1">
      <c r="A150" t="s">
        <v>14</v>
      </c>
      <c r="B150" t="s">
        <v>2899</v>
      </c>
      <c r="C150" t="s">
        <v>2900</v>
      </c>
      <c r="D150" t="s">
        <v>2943</v>
      </c>
      <c r="E150" t="s">
        <v>2944</v>
      </c>
      <c r="F150" t="s">
        <v>2608</v>
      </c>
      <c r="G150" t="s">
        <v>2945</v>
      </c>
    </row>
    <row r="151" spans="1:7" ht="11.25" customHeight="1">
      <c r="A151" t="s">
        <v>14</v>
      </c>
      <c r="B151" t="s">
        <v>2946</v>
      </c>
      <c r="C151" t="s">
        <v>2947</v>
      </c>
      <c r="D151" t="s">
        <v>2948</v>
      </c>
      <c r="E151" t="s">
        <v>2949</v>
      </c>
      <c r="F151" t="s">
        <v>2565</v>
      </c>
      <c r="G151" t="s">
        <v>2950</v>
      </c>
    </row>
    <row r="152" spans="1:7" ht="11.25" customHeight="1">
      <c r="A152" t="s">
        <v>14</v>
      </c>
      <c r="B152" t="s">
        <v>2946</v>
      </c>
      <c r="C152" t="s">
        <v>2947</v>
      </c>
      <c r="D152" t="s">
        <v>2951</v>
      </c>
      <c r="E152" t="s">
        <v>2952</v>
      </c>
      <c r="F152" t="s">
        <v>2565</v>
      </c>
      <c r="G152" t="s">
        <v>2953</v>
      </c>
    </row>
    <row r="153" spans="1:7" ht="11.25" customHeight="1">
      <c r="A153" t="s">
        <v>14</v>
      </c>
      <c r="B153" t="s">
        <v>2946</v>
      </c>
      <c r="C153" t="s">
        <v>2947</v>
      </c>
      <c r="D153" t="s">
        <v>2954</v>
      </c>
      <c r="E153" t="s">
        <v>2955</v>
      </c>
      <c r="F153" t="s">
        <v>2565</v>
      </c>
      <c r="G153" t="s">
        <v>2956</v>
      </c>
    </row>
    <row r="154" spans="1:7" ht="11.25" customHeight="1">
      <c r="A154" t="s">
        <v>14</v>
      </c>
      <c r="B154" t="s">
        <v>2946</v>
      </c>
      <c r="C154" t="s">
        <v>2947</v>
      </c>
      <c r="D154" t="s">
        <v>2957</v>
      </c>
      <c r="E154" t="s">
        <v>2958</v>
      </c>
      <c r="F154" t="s">
        <v>2565</v>
      </c>
      <c r="G154" t="s">
        <v>2959</v>
      </c>
    </row>
    <row r="155" spans="1:7" ht="11.25" customHeight="1">
      <c r="A155" t="s">
        <v>14</v>
      </c>
      <c r="B155" t="s">
        <v>2946</v>
      </c>
      <c r="C155" t="s">
        <v>2947</v>
      </c>
      <c r="D155" t="s">
        <v>2946</v>
      </c>
      <c r="E155" t="s">
        <v>2947</v>
      </c>
      <c r="F155" t="s">
        <v>2562</v>
      </c>
      <c r="G155" t="s">
        <v>2960</v>
      </c>
    </row>
    <row r="156" spans="1:7" ht="11.25" customHeight="1">
      <c r="A156" t="s">
        <v>14</v>
      </c>
      <c r="B156" t="s">
        <v>2946</v>
      </c>
      <c r="C156" t="s">
        <v>2947</v>
      </c>
      <c r="D156" t="s">
        <v>2961</v>
      </c>
      <c r="E156" t="s">
        <v>2962</v>
      </c>
      <c r="F156" t="s">
        <v>2565</v>
      </c>
      <c r="G156" t="s">
        <v>2963</v>
      </c>
    </row>
    <row r="157" spans="1:7" ht="11.25" customHeight="1">
      <c r="A157" t="s">
        <v>14</v>
      </c>
      <c r="B157" t="s">
        <v>2946</v>
      </c>
      <c r="C157" t="s">
        <v>2947</v>
      </c>
      <c r="D157" t="s">
        <v>2964</v>
      </c>
      <c r="E157" t="s">
        <v>2965</v>
      </c>
      <c r="F157" t="s">
        <v>2565</v>
      </c>
      <c r="G157" t="s">
        <v>2966</v>
      </c>
    </row>
    <row r="158" spans="1:7" ht="11.25" customHeight="1">
      <c r="A158" t="s">
        <v>14</v>
      </c>
      <c r="B158" t="s">
        <v>2946</v>
      </c>
      <c r="C158" t="s">
        <v>2947</v>
      </c>
      <c r="D158" t="s">
        <v>2967</v>
      </c>
      <c r="E158" t="s">
        <v>2968</v>
      </c>
      <c r="F158" t="s">
        <v>2565</v>
      </c>
      <c r="G158" t="s">
        <v>2969</v>
      </c>
    </row>
    <row r="159" spans="1:7" ht="11.25" customHeight="1">
      <c r="A159" t="s">
        <v>14</v>
      </c>
      <c r="B159" t="s">
        <v>2946</v>
      </c>
      <c r="C159" t="s">
        <v>2947</v>
      </c>
      <c r="D159" t="s">
        <v>2970</v>
      </c>
      <c r="E159" t="s">
        <v>2971</v>
      </c>
      <c r="F159" t="s">
        <v>2608</v>
      </c>
      <c r="G159" t="s">
        <v>2972</v>
      </c>
    </row>
    <row r="160" spans="1:7" ht="11.25" customHeight="1">
      <c r="A160" t="s">
        <v>14</v>
      </c>
      <c r="B160" t="s">
        <v>2973</v>
      </c>
      <c r="C160" t="s">
        <v>2974</v>
      </c>
      <c r="D160" t="s">
        <v>2975</v>
      </c>
      <c r="E160" t="s">
        <v>2976</v>
      </c>
      <c r="F160" t="s">
        <v>2565</v>
      </c>
      <c r="G160" t="s">
        <v>2977</v>
      </c>
    </row>
    <row r="161" spans="1:7" ht="11.25" customHeight="1">
      <c r="A161" t="s">
        <v>14</v>
      </c>
      <c r="B161" t="s">
        <v>2973</v>
      </c>
      <c r="C161" t="s">
        <v>2974</v>
      </c>
      <c r="D161" t="s">
        <v>2978</v>
      </c>
      <c r="E161" t="s">
        <v>2979</v>
      </c>
      <c r="F161" t="s">
        <v>2565</v>
      </c>
      <c r="G161" t="s">
        <v>2980</v>
      </c>
    </row>
    <row r="162" spans="1:7" ht="11.25" customHeight="1">
      <c r="A162" t="s">
        <v>14</v>
      </c>
      <c r="B162" t="s">
        <v>2973</v>
      </c>
      <c r="C162" t="s">
        <v>2974</v>
      </c>
      <c r="D162" t="s">
        <v>2981</v>
      </c>
      <c r="E162" t="s">
        <v>2982</v>
      </c>
      <c r="F162" t="s">
        <v>2565</v>
      </c>
      <c r="G162" t="s">
        <v>2983</v>
      </c>
    </row>
    <row r="163" spans="1:7" ht="11.25" customHeight="1">
      <c r="A163" t="s">
        <v>14</v>
      </c>
      <c r="B163" t="s">
        <v>2973</v>
      </c>
      <c r="C163" t="s">
        <v>2974</v>
      </c>
      <c r="D163" t="s">
        <v>2984</v>
      </c>
      <c r="E163" t="s">
        <v>2985</v>
      </c>
      <c r="F163" t="s">
        <v>2565</v>
      </c>
      <c r="G163" t="s">
        <v>2986</v>
      </c>
    </row>
    <row r="164" spans="1:7" ht="11.25" customHeight="1">
      <c r="A164" t="s">
        <v>14</v>
      </c>
      <c r="B164" t="s">
        <v>2973</v>
      </c>
      <c r="C164" t="s">
        <v>2974</v>
      </c>
      <c r="D164" t="s">
        <v>2987</v>
      </c>
      <c r="E164" t="s">
        <v>2988</v>
      </c>
      <c r="F164" t="s">
        <v>2565</v>
      </c>
      <c r="G164" t="s">
        <v>2989</v>
      </c>
    </row>
    <row r="165" spans="1:7" ht="11.25" customHeight="1">
      <c r="A165" t="s">
        <v>14</v>
      </c>
      <c r="B165" t="s">
        <v>2973</v>
      </c>
      <c r="C165" t="s">
        <v>2974</v>
      </c>
      <c r="D165" t="s">
        <v>2990</v>
      </c>
      <c r="E165" t="s">
        <v>2991</v>
      </c>
      <c r="F165" t="s">
        <v>2565</v>
      </c>
      <c r="G165" t="s">
        <v>2992</v>
      </c>
    </row>
    <row r="166" spans="1:7" ht="11.25" customHeight="1">
      <c r="A166" t="s">
        <v>14</v>
      </c>
      <c r="B166" t="s">
        <v>2973</v>
      </c>
      <c r="C166" t="s">
        <v>2974</v>
      </c>
      <c r="D166" t="s">
        <v>2993</v>
      </c>
      <c r="E166" t="s">
        <v>2994</v>
      </c>
      <c r="F166" t="s">
        <v>2565</v>
      </c>
      <c r="G166" t="s">
        <v>2995</v>
      </c>
    </row>
    <row r="167" spans="1:7" ht="11.25" customHeight="1">
      <c r="A167" t="s">
        <v>14</v>
      </c>
      <c r="B167" t="s">
        <v>2973</v>
      </c>
      <c r="C167" t="s">
        <v>2974</v>
      </c>
      <c r="D167" t="s">
        <v>2996</v>
      </c>
      <c r="E167" t="s">
        <v>2997</v>
      </c>
      <c r="F167" t="s">
        <v>2565</v>
      </c>
      <c r="G167" t="s">
        <v>2998</v>
      </c>
    </row>
    <row r="168" spans="1:7" ht="11.25" customHeight="1">
      <c r="A168" t="s">
        <v>14</v>
      </c>
      <c r="B168" t="s">
        <v>2973</v>
      </c>
      <c r="C168" t="s">
        <v>2974</v>
      </c>
      <c r="D168" t="s">
        <v>2999</v>
      </c>
      <c r="E168" t="s">
        <v>3000</v>
      </c>
      <c r="F168" t="s">
        <v>2565</v>
      </c>
      <c r="G168" t="s">
        <v>3001</v>
      </c>
    </row>
    <row r="169" spans="1:7" ht="11.25" customHeight="1">
      <c r="A169" t="s">
        <v>14</v>
      </c>
      <c r="B169" t="s">
        <v>2973</v>
      </c>
      <c r="C169" t="s">
        <v>2974</v>
      </c>
      <c r="D169" t="s">
        <v>2881</v>
      </c>
      <c r="E169" t="s">
        <v>3002</v>
      </c>
      <c r="F169" t="s">
        <v>2565</v>
      </c>
      <c r="G169" t="s">
        <v>3003</v>
      </c>
    </row>
    <row r="170" spans="1:7" ht="11.25" customHeight="1">
      <c r="A170" t="s">
        <v>14</v>
      </c>
      <c r="B170" t="s">
        <v>2973</v>
      </c>
      <c r="C170" t="s">
        <v>2974</v>
      </c>
      <c r="D170" t="s">
        <v>3004</v>
      </c>
      <c r="E170" t="s">
        <v>3005</v>
      </c>
      <c r="F170" t="s">
        <v>2565</v>
      </c>
      <c r="G170" t="s">
        <v>3006</v>
      </c>
    </row>
    <row r="171" spans="1:7" ht="11.25" customHeight="1">
      <c r="A171" t="s">
        <v>14</v>
      </c>
      <c r="B171" t="s">
        <v>2973</v>
      </c>
      <c r="C171" t="s">
        <v>2974</v>
      </c>
      <c r="D171" t="s">
        <v>3007</v>
      </c>
      <c r="E171" t="s">
        <v>3008</v>
      </c>
      <c r="F171" t="s">
        <v>2565</v>
      </c>
      <c r="G171" t="s">
        <v>3009</v>
      </c>
    </row>
    <row r="172" spans="1:7" ht="11.25" customHeight="1">
      <c r="A172" t="s">
        <v>14</v>
      </c>
      <c r="B172" t="s">
        <v>2973</v>
      </c>
      <c r="C172" t="s">
        <v>2974</v>
      </c>
      <c r="D172" t="s">
        <v>3010</v>
      </c>
      <c r="E172" t="s">
        <v>3011</v>
      </c>
      <c r="F172" t="s">
        <v>2565</v>
      </c>
      <c r="G172" t="s">
        <v>3012</v>
      </c>
    </row>
    <row r="173" spans="1:7" ht="11.25" customHeight="1">
      <c r="A173" t="s">
        <v>14</v>
      </c>
      <c r="B173" t="s">
        <v>2973</v>
      </c>
      <c r="C173" t="s">
        <v>2974</v>
      </c>
      <c r="D173" t="s">
        <v>3013</v>
      </c>
      <c r="E173" t="s">
        <v>3014</v>
      </c>
      <c r="F173" t="s">
        <v>2565</v>
      </c>
      <c r="G173" t="s">
        <v>3015</v>
      </c>
    </row>
    <row r="174" spans="1:7" ht="11.25" customHeight="1">
      <c r="A174" t="s">
        <v>14</v>
      </c>
      <c r="B174" t="s">
        <v>2973</v>
      </c>
      <c r="C174" t="s">
        <v>2974</v>
      </c>
      <c r="D174" t="s">
        <v>2973</v>
      </c>
      <c r="E174" t="s">
        <v>2974</v>
      </c>
      <c r="F174" t="s">
        <v>2562</v>
      </c>
      <c r="G174" t="s">
        <v>3016</v>
      </c>
    </row>
    <row r="175" spans="1:7" ht="11.25" customHeight="1">
      <c r="A175" t="s">
        <v>14</v>
      </c>
      <c r="B175" t="s">
        <v>2973</v>
      </c>
      <c r="C175" t="s">
        <v>2974</v>
      </c>
      <c r="D175" t="s">
        <v>3017</v>
      </c>
      <c r="E175" t="s">
        <v>3018</v>
      </c>
      <c r="F175" t="s">
        <v>2565</v>
      </c>
      <c r="G175" t="s">
        <v>3019</v>
      </c>
    </row>
    <row r="176" spans="1:7" ht="11.25" customHeight="1">
      <c r="A176" t="s">
        <v>14</v>
      </c>
      <c r="B176" t="s">
        <v>2973</v>
      </c>
      <c r="C176" t="s">
        <v>2974</v>
      </c>
      <c r="D176" t="s">
        <v>3020</v>
      </c>
      <c r="E176" t="s">
        <v>3021</v>
      </c>
      <c r="F176" t="s">
        <v>2565</v>
      </c>
      <c r="G176" t="s">
        <v>3022</v>
      </c>
    </row>
    <row r="177" spans="1:7" ht="11.25" customHeight="1">
      <c r="A177" t="s">
        <v>14</v>
      </c>
      <c r="B177" t="s">
        <v>2973</v>
      </c>
      <c r="C177" t="s">
        <v>2974</v>
      </c>
      <c r="D177" t="s">
        <v>3023</v>
      </c>
      <c r="E177" t="s">
        <v>3024</v>
      </c>
      <c r="F177" t="s">
        <v>2565</v>
      </c>
      <c r="G177" t="s">
        <v>3025</v>
      </c>
    </row>
    <row r="178" spans="1:7" ht="11.25" customHeight="1">
      <c r="A178" t="s">
        <v>14</v>
      </c>
      <c r="B178" t="s">
        <v>2973</v>
      </c>
      <c r="C178" t="s">
        <v>2974</v>
      </c>
      <c r="D178" t="s">
        <v>3026</v>
      </c>
      <c r="E178" t="s">
        <v>3027</v>
      </c>
      <c r="F178" t="s">
        <v>2565</v>
      </c>
      <c r="G178" t="s">
        <v>3028</v>
      </c>
    </row>
    <row r="179" spans="1:7" ht="11.25" customHeight="1">
      <c r="A179" t="s">
        <v>14</v>
      </c>
      <c r="B179" t="s">
        <v>2973</v>
      </c>
      <c r="C179" t="s">
        <v>2974</v>
      </c>
      <c r="D179" t="s">
        <v>3029</v>
      </c>
      <c r="E179" t="s">
        <v>3030</v>
      </c>
      <c r="F179" t="s">
        <v>2565</v>
      </c>
      <c r="G179" t="s">
        <v>3031</v>
      </c>
    </row>
    <row r="180" spans="1:7" ht="11.25" customHeight="1">
      <c r="A180" t="s">
        <v>14</v>
      </c>
      <c r="B180" t="s">
        <v>2973</v>
      </c>
      <c r="C180" t="s">
        <v>2974</v>
      </c>
      <c r="D180" t="s">
        <v>3032</v>
      </c>
      <c r="E180" t="s">
        <v>3033</v>
      </c>
      <c r="F180" t="s">
        <v>2565</v>
      </c>
      <c r="G180" t="s">
        <v>3034</v>
      </c>
    </row>
    <row r="181" spans="1:7" ht="11.25" customHeight="1">
      <c r="A181" t="s">
        <v>14</v>
      </c>
      <c r="B181" t="s">
        <v>2973</v>
      </c>
      <c r="C181" t="s">
        <v>2974</v>
      </c>
      <c r="D181" t="s">
        <v>3035</v>
      </c>
      <c r="E181" t="s">
        <v>3036</v>
      </c>
      <c r="F181" t="s">
        <v>2742</v>
      </c>
      <c r="G181" t="s">
        <v>3037</v>
      </c>
    </row>
    <row r="182" spans="1:7" ht="11.25" customHeight="1">
      <c r="A182" t="s">
        <v>14</v>
      </c>
      <c r="B182" t="s">
        <v>3038</v>
      </c>
      <c r="C182" t="s">
        <v>3039</v>
      </c>
      <c r="D182" t="s">
        <v>3040</v>
      </c>
      <c r="E182" t="s">
        <v>3041</v>
      </c>
      <c r="F182" t="s">
        <v>2565</v>
      </c>
      <c r="G182" t="s">
        <v>3042</v>
      </c>
    </row>
    <row r="183" spans="1:7" ht="11.25" customHeight="1">
      <c r="A183" t="s">
        <v>14</v>
      </c>
      <c r="B183" t="s">
        <v>3038</v>
      </c>
      <c r="C183" t="s">
        <v>3039</v>
      </c>
      <c r="D183" t="s">
        <v>3043</v>
      </c>
      <c r="E183" t="s">
        <v>3044</v>
      </c>
      <c r="F183" t="s">
        <v>2565</v>
      </c>
      <c r="G183" t="s">
        <v>3045</v>
      </c>
    </row>
    <row r="184" spans="1:7" ht="11.25" customHeight="1">
      <c r="A184" t="s">
        <v>14</v>
      </c>
      <c r="B184" t="s">
        <v>3038</v>
      </c>
      <c r="C184" t="s">
        <v>3039</v>
      </c>
      <c r="D184" t="s">
        <v>3046</v>
      </c>
      <c r="E184" t="s">
        <v>3047</v>
      </c>
      <c r="F184" t="s">
        <v>2565</v>
      </c>
      <c r="G184" t="s">
        <v>3048</v>
      </c>
    </row>
    <row r="185" spans="1:7" ht="11.25" customHeight="1">
      <c r="A185" t="s">
        <v>14</v>
      </c>
      <c r="B185" t="s">
        <v>3038</v>
      </c>
      <c r="C185" t="s">
        <v>3039</v>
      </c>
      <c r="D185" t="s">
        <v>3049</v>
      </c>
      <c r="E185" t="s">
        <v>3050</v>
      </c>
      <c r="F185" t="s">
        <v>2565</v>
      </c>
      <c r="G185" t="s">
        <v>3051</v>
      </c>
    </row>
    <row r="186" spans="1:7" ht="11.25" customHeight="1">
      <c r="A186" t="s">
        <v>14</v>
      </c>
      <c r="B186" t="s">
        <v>3038</v>
      </c>
      <c r="C186" t="s">
        <v>3039</v>
      </c>
      <c r="D186" t="s">
        <v>3052</v>
      </c>
      <c r="E186" t="s">
        <v>3053</v>
      </c>
      <c r="F186" t="s">
        <v>2565</v>
      </c>
      <c r="G186" t="s">
        <v>3054</v>
      </c>
    </row>
    <row r="187" spans="1:7" ht="11.25" customHeight="1">
      <c r="A187" t="s">
        <v>14</v>
      </c>
      <c r="B187" t="s">
        <v>3038</v>
      </c>
      <c r="C187" t="s">
        <v>3039</v>
      </c>
      <c r="D187" t="s">
        <v>3055</v>
      </c>
      <c r="E187" t="s">
        <v>3056</v>
      </c>
      <c r="F187" t="s">
        <v>2565</v>
      </c>
      <c r="G187" t="s">
        <v>3057</v>
      </c>
    </row>
    <row r="188" spans="1:7" ht="11.25" customHeight="1">
      <c r="A188" t="s">
        <v>14</v>
      </c>
      <c r="B188" t="s">
        <v>3038</v>
      </c>
      <c r="C188" t="s">
        <v>3039</v>
      </c>
      <c r="D188" t="s">
        <v>3058</v>
      </c>
      <c r="E188" t="s">
        <v>3059</v>
      </c>
      <c r="F188" t="s">
        <v>2565</v>
      </c>
      <c r="G188" t="s">
        <v>3060</v>
      </c>
    </row>
    <row r="189" spans="1:7" ht="11.25" customHeight="1">
      <c r="A189" t="s">
        <v>14</v>
      </c>
      <c r="B189" t="s">
        <v>3038</v>
      </c>
      <c r="C189" t="s">
        <v>3039</v>
      </c>
      <c r="D189" t="s">
        <v>3061</v>
      </c>
      <c r="E189" t="s">
        <v>3062</v>
      </c>
      <c r="F189" t="s">
        <v>2565</v>
      </c>
      <c r="G189" t="s">
        <v>3063</v>
      </c>
    </row>
    <row r="190" spans="1:7" ht="11.25" customHeight="1">
      <c r="A190" t="s">
        <v>14</v>
      </c>
      <c r="B190" t="s">
        <v>3038</v>
      </c>
      <c r="C190" t="s">
        <v>3039</v>
      </c>
      <c r="D190" t="s">
        <v>3038</v>
      </c>
      <c r="E190" t="s">
        <v>3039</v>
      </c>
      <c r="F190" t="s">
        <v>2562</v>
      </c>
      <c r="G190" t="s">
        <v>3064</v>
      </c>
    </row>
    <row r="191" spans="1:7" ht="11.25" customHeight="1">
      <c r="A191" t="s">
        <v>14</v>
      </c>
      <c r="B191" t="s">
        <v>3038</v>
      </c>
      <c r="C191" t="s">
        <v>3039</v>
      </c>
      <c r="D191" t="s">
        <v>3065</v>
      </c>
      <c r="E191" t="s">
        <v>3066</v>
      </c>
      <c r="F191" t="s">
        <v>2565</v>
      </c>
      <c r="G191" t="s">
        <v>3067</v>
      </c>
    </row>
    <row r="192" spans="1:7" ht="11.25" customHeight="1">
      <c r="A192" t="s">
        <v>14</v>
      </c>
      <c r="B192" t="s">
        <v>3038</v>
      </c>
      <c r="C192" t="s">
        <v>3039</v>
      </c>
      <c r="D192" t="s">
        <v>3068</v>
      </c>
      <c r="E192" t="s">
        <v>3069</v>
      </c>
      <c r="F192" t="s">
        <v>2565</v>
      </c>
      <c r="G192" t="s">
        <v>3070</v>
      </c>
    </row>
    <row r="193" spans="1:7" ht="11.25" customHeight="1">
      <c r="A193" t="s">
        <v>14</v>
      </c>
      <c r="B193" t="s">
        <v>3038</v>
      </c>
      <c r="C193" t="s">
        <v>3039</v>
      </c>
      <c r="D193" t="s">
        <v>3071</v>
      </c>
      <c r="E193" t="s">
        <v>3072</v>
      </c>
      <c r="F193" t="s">
        <v>2565</v>
      </c>
      <c r="G193" t="s">
        <v>3073</v>
      </c>
    </row>
    <row r="194" spans="1:7" ht="11.25" customHeight="1">
      <c r="A194" t="s">
        <v>14</v>
      </c>
      <c r="B194" t="s">
        <v>3038</v>
      </c>
      <c r="C194" t="s">
        <v>3039</v>
      </c>
      <c r="D194" t="s">
        <v>3074</v>
      </c>
      <c r="E194" t="s">
        <v>3075</v>
      </c>
      <c r="F194" t="s">
        <v>2565</v>
      </c>
      <c r="G194" t="s">
        <v>3076</v>
      </c>
    </row>
    <row r="195" spans="1:7" ht="11.25" customHeight="1">
      <c r="A195" t="s">
        <v>14</v>
      </c>
      <c r="B195" t="s">
        <v>3038</v>
      </c>
      <c r="C195" t="s">
        <v>3039</v>
      </c>
      <c r="D195" t="s">
        <v>3077</v>
      </c>
      <c r="E195" t="s">
        <v>3078</v>
      </c>
      <c r="F195" t="s">
        <v>2565</v>
      </c>
      <c r="G195" t="s">
        <v>3079</v>
      </c>
    </row>
    <row r="196" spans="1:7" ht="11.25" customHeight="1">
      <c r="A196" t="s">
        <v>14</v>
      </c>
      <c r="B196" t="s">
        <v>3038</v>
      </c>
      <c r="C196" t="s">
        <v>3039</v>
      </c>
      <c r="D196" t="s">
        <v>2860</v>
      </c>
      <c r="E196" t="s">
        <v>3080</v>
      </c>
      <c r="F196" t="s">
        <v>2565</v>
      </c>
      <c r="G196" t="s">
        <v>3081</v>
      </c>
    </row>
    <row r="197" spans="1:7" ht="11.25" customHeight="1">
      <c r="A197" t="s">
        <v>14</v>
      </c>
      <c r="B197" t="s">
        <v>3038</v>
      </c>
      <c r="C197" t="s">
        <v>3039</v>
      </c>
      <c r="D197" t="s">
        <v>3082</v>
      </c>
      <c r="E197" t="s">
        <v>3083</v>
      </c>
      <c r="F197" t="s">
        <v>2742</v>
      </c>
      <c r="G197" t="s">
        <v>3084</v>
      </c>
    </row>
    <row r="198" spans="1:7" ht="11.25" customHeight="1">
      <c r="A198" t="s">
        <v>14</v>
      </c>
      <c r="B198" t="s">
        <v>3038</v>
      </c>
      <c r="C198" t="s">
        <v>3039</v>
      </c>
      <c r="D198" t="s">
        <v>3085</v>
      </c>
      <c r="E198" t="s">
        <v>3086</v>
      </c>
      <c r="F198" t="s">
        <v>2608</v>
      </c>
      <c r="G198" t="s">
        <v>3087</v>
      </c>
    </row>
    <row r="199" spans="1:7" ht="11.25" customHeight="1">
      <c r="A199" t="s">
        <v>14</v>
      </c>
      <c r="B199" t="s">
        <v>3088</v>
      </c>
      <c r="C199" t="s">
        <v>3089</v>
      </c>
      <c r="D199" t="s">
        <v>3090</v>
      </c>
      <c r="E199" t="s">
        <v>3091</v>
      </c>
      <c r="F199" t="s">
        <v>2565</v>
      </c>
      <c r="G199" t="s">
        <v>3092</v>
      </c>
    </row>
    <row r="200" spans="1:7" ht="11.25" customHeight="1">
      <c r="A200" t="s">
        <v>14</v>
      </c>
      <c r="B200" t="s">
        <v>3088</v>
      </c>
      <c r="C200" t="s">
        <v>3089</v>
      </c>
      <c r="D200" t="s">
        <v>2617</v>
      </c>
      <c r="E200" t="s">
        <v>3093</v>
      </c>
      <c r="F200" t="s">
        <v>2565</v>
      </c>
      <c r="G200" t="s">
        <v>3094</v>
      </c>
    </row>
    <row r="201" spans="1:7" ht="11.25" customHeight="1">
      <c r="A201" t="s">
        <v>14</v>
      </c>
      <c r="B201" t="s">
        <v>3088</v>
      </c>
      <c r="C201" t="s">
        <v>3089</v>
      </c>
      <c r="D201" t="s">
        <v>3095</v>
      </c>
      <c r="E201" t="s">
        <v>3096</v>
      </c>
      <c r="F201" t="s">
        <v>2565</v>
      </c>
      <c r="G201" t="s">
        <v>3097</v>
      </c>
    </row>
    <row r="202" spans="1:7" ht="11.25" customHeight="1">
      <c r="A202" t="s">
        <v>14</v>
      </c>
      <c r="B202" t="s">
        <v>3088</v>
      </c>
      <c r="C202" t="s">
        <v>3089</v>
      </c>
      <c r="D202" t="s">
        <v>3098</v>
      </c>
      <c r="E202" t="s">
        <v>3099</v>
      </c>
      <c r="F202" t="s">
        <v>2565</v>
      </c>
      <c r="G202" t="s">
        <v>3100</v>
      </c>
    </row>
    <row r="203" spans="1:7" ht="11.25" customHeight="1">
      <c r="A203" t="s">
        <v>14</v>
      </c>
      <c r="B203" t="s">
        <v>3088</v>
      </c>
      <c r="C203" t="s">
        <v>3089</v>
      </c>
      <c r="D203" t="s">
        <v>3101</v>
      </c>
      <c r="E203" t="s">
        <v>3102</v>
      </c>
      <c r="F203" t="s">
        <v>2565</v>
      </c>
      <c r="G203" t="s">
        <v>3103</v>
      </c>
    </row>
    <row r="204" spans="1:7" ht="11.25" customHeight="1">
      <c r="A204" t="s">
        <v>14</v>
      </c>
      <c r="B204" t="s">
        <v>3088</v>
      </c>
      <c r="C204" t="s">
        <v>3089</v>
      </c>
      <c r="D204" t="s">
        <v>2758</v>
      </c>
      <c r="E204" t="s">
        <v>3104</v>
      </c>
      <c r="F204" t="s">
        <v>2565</v>
      </c>
      <c r="G204" t="s">
        <v>3105</v>
      </c>
    </row>
    <row r="205" spans="1:7" ht="11.25" customHeight="1">
      <c r="A205" t="s">
        <v>14</v>
      </c>
      <c r="B205" t="s">
        <v>3088</v>
      </c>
      <c r="C205" t="s">
        <v>3089</v>
      </c>
      <c r="D205" t="s">
        <v>2951</v>
      </c>
      <c r="E205" t="s">
        <v>3106</v>
      </c>
      <c r="F205" t="s">
        <v>2565</v>
      </c>
      <c r="G205" t="s">
        <v>3107</v>
      </c>
    </row>
    <row r="206" spans="1:7" ht="11.25" customHeight="1">
      <c r="A206" t="s">
        <v>14</v>
      </c>
      <c r="B206" t="s">
        <v>3088</v>
      </c>
      <c r="C206" t="s">
        <v>3089</v>
      </c>
      <c r="D206" t="s">
        <v>3108</v>
      </c>
      <c r="E206" t="s">
        <v>3109</v>
      </c>
      <c r="F206" t="s">
        <v>2565</v>
      </c>
      <c r="G206" t="s">
        <v>3110</v>
      </c>
    </row>
    <row r="207" spans="1:7" ht="11.25" customHeight="1">
      <c r="A207" t="s">
        <v>14</v>
      </c>
      <c r="B207" t="s">
        <v>3088</v>
      </c>
      <c r="C207" t="s">
        <v>3089</v>
      </c>
      <c r="D207" t="s">
        <v>3111</v>
      </c>
      <c r="E207" t="s">
        <v>3112</v>
      </c>
      <c r="F207" t="s">
        <v>2565</v>
      </c>
      <c r="G207" t="s">
        <v>3113</v>
      </c>
    </row>
    <row r="208" spans="1:7" ht="11.25" customHeight="1">
      <c r="A208" t="s">
        <v>14</v>
      </c>
      <c r="B208" t="s">
        <v>3088</v>
      </c>
      <c r="C208" t="s">
        <v>3089</v>
      </c>
      <c r="D208" t="s">
        <v>3114</v>
      </c>
      <c r="E208" t="s">
        <v>3115</v>
      </c>
      <c r="F208" t="s">
        <v>2565</v>
      </c>
      <c r="G208" t="s">
        <v>3116</v>
      </c>
    </row>
    <row r="209" spans="1:7" ht="11.25" customHeight="1">
      <c r="A209" t="s">
        <v>14</v>
      </c>
      <c r="B209" t="s">
        <v>3088</v>
      </c>
      <c r="C209" t="s">
        <v>3089</v>
      </c>
      <c r="D209" t="s">
        <v>3088</v>
      </c>
      <c r="E209" t="s">
        <v>3089</v>
      </c>
      <c r="F209" t="s">
        <v>2562</v>
      </c>
      <c r="G209" t="s">
        <v>3117</v>
      </c>
    </row>
    <row r="210" spans="1:7" ht="11.25" customHeight="1">
      <c r="A210" t="s">
        <v>14</v>
      </c>
      <c r="B210" t="s">
        <v>3088</v>
      </c>
      <c r="C210" t="s">
        <v>3089</v>
      </c>
      <c r="D210" t="s">
        <v>3118</v>
      </c>
      <c r="E210" t="s">
        <v>3119</v>
      </c>
      <c r="F210" t="s">
        <v>2565</v>
      </c>
      <c r="G210" t="s">
        <v>3120</v>
      </c>
    </row>
    <row r="211" spans="1:7" ht="11.25" customHeight="1">
      <c r="A211" t="s">
        <v>14</v>
      </c>
      <c r="B211" t="s">
        <v>3088</v>
      </c>
      <c r="C211" t="s">
        <v>3089</v>
      </c>
      <c r="D211" t="s">
        <v>3121</v>
      </c>
      <c r="E211" t="s">
        <v>3122</v>
      </c>
      <c r="F211" t="s">
        <v>2565</v>
      </c>
      <c r="G211" t="s">
        <v>3123</v>
      </c>
    </row>
    <row r="212" spans="1:7" ht="11.25" customHeight="1">
      <c r="A212" t="s">
        <v>14</v>
      </c>
      <c r="B212" t="s">
        <v>3088</v>
      </c>
      <c r="C212" t="s">
        <v>3089</v>
      </c>
      <c r="D212" t="s">
        <v>3124</v>
      </c>
      <c r="E212" t="s">
        <v>3125</v>
      </c>
      <c r="F212" t="s">
        <v>2565</v>
      </c>
      <c r="G212" t="s">
        <v>3126</v>
      </c>
    </row>
    <row r="213" spans="1:7" ht="11.25" customHeight="1">
      <c r="A213" t="s">
        <v>14</v>
      </c>
      <c r="B213" t="s">
        <v>3088</v>
      </c>
      <c r="C213" t="s">
        <v>3089</v>
      </c>
      <c r="D213" t="s">
        <v>3127</v>
      </c>
      <c r="E213" t="s">
        <v>3128</v>
      </c>
      <c r="F213" t="s">
        <v>2565</v>
      </c>
      <c r="G213" t="s">
        <v>3129</v>
      </c>
    </row>
    <row r="214" spans="1:7" ht="11.25" customHeight="1">
      <c r="A214" t="s">
        <v>14</v>
      </c>
      <c r="B214" t="s">
        <v>3088</v>
      </c>
      <c r="C214" t="s">
        <v>3089</v>
      </c>
      <c r="D214" t="s">
        <v>3130</v>
      </c>
      <c r="E214" t="s">
        <v>3131</v>
      </c>
      <c r="F214" t="s">
        <v>2742</v>
      </c>
      <c r="G214" t="s">
        <v>3132</v>
      </c>
    </row>
    <row r="215" spans="1:7" ht="11.25" customHeight="1">
      <c r="A215" t="s">
        <v>14</v>
      </c>
      <c r="B215" t="s">
        <v>3133</v>
      </c>
      <c r="C215" t="s">
        <v>3134</v>
      </c>
      <c r="D215" t="s">
        <v>3133</v>
      </c>
      <c r="E215" t="s">
        <v>3134</v>
      </c>
      <c r="F215" t="s">
        <v>2559</v>
      </c>
      <c r="G215" t="s">
        <v>3135</v>
      </c>
    </row>
    <row r="216" spans="1:7" ht="11.25" customHeight="1">
      <c r="A216" t="s">
        <v>14</v>
      </c>
      <c r="B216" t="s">
        <v>3136</v>
      </c>
      <c r="C216" t="s">
        <v>3137</v>
      </c>
      <c r="D216" t="s">
        <v>2566</v>
      </c>
      <c r="E216" t="s">
        <v>3138</v>
      </c>
      <c r="F216" t="s">
        <v>2565</v>
      </c>
      <c r="G216" t="s">
        <v>3139</v>
      </c>
    </row>
    <row r="217" spans="1:7" ht="11.25" customHeight="1">
      <c r="A217" t="s">
        <v>14</v>
      </c>
      <c r="B217" t="s">
        <v>3136</v>
      </c>
      <c r="C217" t="s">
        <v>3137</v>
      </c>
      <c r="D217" t="s">
        <v>3140</v>
      </c>
      <c r="E217" t="s">
        <v>3141</v>
      </c>
      <c r="F217" t="s">
        <v>2565</v>
      </c>
      <c r="G217" t="s">
        <v>3142</v>
      </c>
    </row>
    <row r="218" spans="1:7" ht="11.25" customHeight="1">
      <c r="A218" t="s">
        <v>14</v>
      </c>
      <c r="B218" t="s">
        <v>3136</v>
      </c>
      <c r="C218" t="s">
        <v>3137</v>
      </c>
      <c r="D218" t="s">
        <v>3143</v>
      </c>
      <c r="E218" t="s">
        <v>3144</v>
      </c>
      <c r="F218" t="s">
        <v>2565</v>
      </c>
      <c r="G218" t="s">
        <v>3145</v>
      </c>
    </row>
    <row r="219" spans="1:7" ht="11.25" customHeight="1">
      <c r="A219" t="s">
        <v>14</v>
      </c>
      <c r="B219" t="s">
        <v>3136</v>
      </c>
      <c r="C219" t="s">
        <v>3137</v>
      </c>
      <c r="D219" t="s">
        <v>3146</v>
      </c>
      <c r="E219" t="s">
        <v>3147</v>
      </c>
      <c r="F219" t="s">
        <v>2565</v>
      </c>
      <c r="G219" t="s">
        <v>3148</v>
      </c>
    </row>
    <row r="220" spans="1:7" ht="11.25" customHeight="1">
      <c r="A220" t="s">
        <v>14</v>
      </c>
      <c r="B220" t="s">
        <v>3136</v>
      </c>
      <c r="C220" t="s">
        <v>3137</v>
      </c>
      <c r="D220" t="s">
        <v>3149</v>
      </c>
      <c r="E220" t="s">
        <v>3150</v>
      </c>
      <c r="F220" t="s">
        <v>2565</v>
      </c>
      <c r="G220" t="s">
        <v>3151</v>
      </c>
    </row>
    <row r="221" spans="1:7" ht="11.25" customHeight="1">
      <c r="A221" t="s">
        <v>14</v>
      </c>
      <c r="B221" t="s">
        <v>3136</v>
      </c>
      <c r="C221" t="s">
        <v>3137</v>
      </c>
      <c r="D221" t="s">
        <v>3152</v>
      </c>
      <c r="E221" t="s">
        <v>3153</v>
      </c>
      <c r="F221" t="s">
        <v>2565</v>
      </c>
      <c r="G221" t="s">
        <v>3154</v>
      </c>
    </row>
    <row r="222" spans="1:7" ht="11.25" customHeight="1">
      <c r="A222" t="s">
        <v>14</v>
      </c>
      <c r="B222" t="s">
        <v>3136</v>
      </c>
      <c r="C222" t="s">
        <v>3137</v>
      </c>
      <c r="D222" t="s">
        <v>3155</v>
      </c>
      <c r="E222" t="s">
        <v>3156</v>
      </c>
      <c r="F222" t="s">
        <v>2565</v>
      </c>
      <c r="G222" t="s">
        <v>3157</v>
      </c>
    </row>
    <row r="223" spans="1:7" ht="11.25" customHeight="1">
      <c r="A223" t="s">
        <v>14</v>
      </c>
      <c r="B223" t="s">
        <v>3136</v>
      </c>
      <c r="C223" t="s">
        <v>3137</v>
      </c>
      <c r="D223" t="s">
        <v>2657</v>
      </c>
      <c r="E223" t="s">
        <v>3158</v>
      </c>
      <c r="F223" t="s">
        <v>2565</v>
      </c>
      <c r="G223" t="s">
        <v>3159</v>
      </c>
    </row>
    <row r="224" spans="1:7" ht="11.25" customHeight="1">
      <c r="A224" t="s">
        <v>14</v>
      </c>
      <c r="B224" t="s">
        <v>3136</v>
      </c>
      <c r="C224" t="s">
        <v>3137</v>
      </c>
      <c r="D224" t="s">
        <v>3160</v>
      </c>
      <c r="E224" t="s">
        <v>3161</v>
      </c>
      <c r="F224" t="s">
        <v>2565</v>
      </c>
      <c r="G224" t="s">
        <v>3162</v>
      </c>
    </row>
    <row r="225" spans="1:7" ht="11.25" customHeight="1">
      <c r="A225" t="s">
        <v>14</v>
      </c>
      <c r="B225" t="s">
        <v>3136</v>
      </c>
      <c r="C225" t="s">
        <v>3137</v>
      </c>
      <c r="D225" t="s">
        <v>3163</v>
      </c>
      <c r="E225" t="s">
        <v>3164</v>
      </c>
      <c r="F225" t="s">
        <v>2565</v>
      </c>
      <c r="G225" t="s">
        <v>3165</v>
      </c>
    </row>
    <row r="226" spans="1:7" ht="11.25" customHeight="1">
      <c r="A226" t="s">
        <v>14</v>
      </c>
      <c r="B226" t="s">
        <v>3136</v>
      </c>
      <c r="C226" t="s">
        <v>3137</v>
      </c>
      <c r="D226" t="s">
        <v>3136</v>
      </c>
      <c r="E226" t="s">
        <v>3137</v>
      </c>
      <c r="F226" t="s">
        <v>2562</v>
      </c>
      <c r="G226" t="s">
        <v>3166</v>
      </c>
    </row>
    <row r="227" spans="1:7" ht="11.25" customHeight="1">
      <c r="A227" t="s">
        <v>14</v>
      </c>
      <c r="B227" t="s">
        <v>3136</v>
      </c>
      <c r="C227" t="s">
        <v>3137</v>
      </c>
      <c r="D227" t="s">
        <v>3167</v>
      </c>
      <c r="E227" t="s">
        <v>3168</v>
      </c>
      <c r="F227" t="s">
        <v>2565</v>
      </c>
      <c r="G227" t="s">
        <v>3169</v>
      </c>
    </row>
    <row r="228" spans="1:7" ht="11.25" customHeight="1">
      <c r="A228" t="s">
        <v>14</v>
      </c>
      <c r="B228" t="s">
        <v>3136</v>
      </c>
      <c r="C228" t="s">
        <v>3137</v>
      </c>
      <c r="D228" t="s">
        <v>3170</v>
      </c>
      <c r="E228" t="s">
        <v>3171</v>
      </c>
      <c r="F228" t="s">
        <v>2565</v>
      </c>
      <c r="G228" t="s">
        <v>3172</v>
      </c>
    </row>
    <row r="229" spans="1:7" ht="11.25" customHeight="1">
      <c r="A229" t="s">
        <v>14</v>
      </c>
      <c r="B229" t="s">
        <v>3136</v>
      </c>
      <c r="C229" t="s">
        <v>3137</v>
      </c>
      <c r="D229" t="s">
        <v>3173</v>
      </c>
      <c r="E229" t="s">
        <v>3174</v>
      </c>
      <c r="F229" t="s">
        <v>2565</v>
      </c>
      <c r="G229" t="s">
        <v>3175</v>
      </c>
    </row>
    <row r="230" spans="1:7" ht="11.25" customHeight="1">
      <c r="A230" t="s">
        <v>14</v>
      </c>
      <c r="B230" t="s">
        <v>3136</v>
      </c>
      <c r="C230" t="s">
        <v>3137</v>
      </c>
      <c r="D230" t="s">
        <v>3176</v>
      </c>
      <c r="E230" t="s">
        <v>3177</v>
      </c>
      <c r="F230" t="s">
        <v>2565</v>
      </c>
      <c r="G230" t="s">
        <v>3178</v>
      </c>
    </row>
    <row r="231" spans="1:7" ht="11.25" customHeight="1">
      <c r="A231" t="s">
        <v>14</v>
      </c>
      <c r="B231" t="s">
        <v>3136</v>
      </c>
      <c r="C231" t="s">
        <v>3137</v>
      </c>
      <c r="D231" t="s">
        <v>3179</v>
      </c>
      <c r="E231" t="s">
        <v>3180</v>
      </c>
      <c r="F231" t="s">
        <v>2565</v>
      </c>
      <c r="G231" t="s">
        <v>3181</v>
      </c>
    </row>
    <row r="232" spans="1:7" ht="11.25" customHeight="1">
      <c r="A232" t="s">
        <v>14</v>
      </c>
      <c r="B232" t="s">
        <v>3136</v>
      </c>
      <c r="C232" t="s">
        <v>3137</v>
      </c>
      <c r="D232" t="s">
        <v>3182</v>
      </c>
      <c r="E232" t="s">
        <v>3183</v>
      </c>
      <c r="F232" t="s">
        <v>2565</v>
      </c>
      <c r="G232" t="s">
        <v>3184</v>
      </c>
    </row>
    <row r="233" spans="1:7" ht="11.25" customHeight="1">
      <c r="A233" t="s">
        <v>14</v>
      </c>
      <c r="B233" t="s">
        <v>3136</v>
      </c>
      <c r="C233" t="s">
        <v>3137</v>
      </c>
      <c r="D233" t="s">
        <v>3185</v>
      </c>
      <c r="E233" t="s">
        <v>3186</v>
      </c>
      <c r="F233" t="s">
        <v>2565</v>
      </c>
      <c r="G233" t="s">
        <v>3187</v>
      </c>
    </row>
    <row r="234" spans="1:7" ht="11.25" customHeight="1">
      <c r="A234" t="s">
        <v>14</v>
      </c>
      <c r="B234" t="s">
        <v>3136</v>
      </c>
      <c r="C234" t="s">
        <v>3137</v>
      </c>
      <c r="D234" t="s">
        <v>3188</v>
      </c>
      <c r="E234" t="s">
        <v>3189</v>
      </c>
      <c r="F234" t="s">
        <v>2742</v>
      </c>
      <c r="G234" t="s">
        <v>3190</v>
      </c>
    </row>
    <row r="235" spans="1:7" ht="11.25" customHeight="1">
      <c r="A235" t="s">
        <v>14</v>
      </c>
      <c r="B235" t="s">
        <v>3191</v>
      </c>
      <c r="C235" t="s">
        <v>3192</v>
      </c>
      <c r="D235" t="s">
        <v>3193</v>
      </c>
      <c r="E235" t="s">
        <v>3194</v>
      </c>
      <c r="F235" t="s">
        <v>2565</v>
      </c>
      <c r="G235" t="s">
        <v>3195</v>
      </c>
    </row>
    <row r="236" spans="1:7" ht="11.25" customHeight="1">
      <c r="A236" t="s">
        <v>14</v>
      </c>
      <c r="B236" t="s">
        <v>3191</v>
      </c>
      <c r="C236" t="s">
        <v>3192</v>
      </c>
      <c r="D236" t="s">
        <v>3196</v>
      </c>
      <c r="E236" t="s">
        <v>3197</v>
      </c>
      <c r="F236" t="s">
        <v>2565</v>
      </c>
      <c r="G236" t="s">
        <v>3198</v>
      </c>
    </row>
    <row r="237" spans="1:7" ht="11.25" customHeight="1">
      <c r="A237" t="s">
        <v>14</v>
      </c>
      <c r="B237" t="s">
        <v>3191</v>
      </c>
      <c r="C237" t="s">
        <v>3192</v>
      </c>
      <c r="D237" t="s">
        <v>2948</v>
      </c>
      <c r="E237" t="s">
        <v>3199</v>
      </c>
      <c r="F237" t="s">
        <v>2565</v>
      </c>
      <c r="G237" t="s">
        <v>3200</v>
      </c>
    </row>
    <row r="238" spans="1:7" ht="11.25" customHeight="1">
      <c r="A238" t="s">
        <v>14</v>
      </c>
      <c r="B238" t="s">
        <v>3191</v>
      </c>
      <c r="C238" t="s">
        <v>3192</v>
      </c>
      <c r="D238" t="s">
        <v>3201</v>
      </c>
      <c r="E238" t="s">
        <v>3202</v>
      </c>
      <c r="F238" t="s">
        <v>2565</v>
      </c>
      <c r="G238" t="s">
        <v>3203</v>
      </c>
    </row>
    <row r="239" spans="1:7" ht="11.25" customHeight="1">
      <c r="A239" t="s">
        <v>14</v>
      </c>
      <c r="B239" t="s">
        <v>3191</v>
      </c>
      <c r="C239" t="s">
        <v>3192</v>
      </c>
      <c r="D239" t="s">
        <v>2919</v>
      </c>
      <c r="E239" t="s">
        <v>3204</v>
      </c>
      <c r="F239" t="s">
        <v>2565</v>
      </c>
      <c r="G239" t="s">
        <v>3205</v>
      </c>
    </row>
    <row r="240" spans="1:7" ht="11.25" customHeight="1">
      <c r="A240" t="s">
        <v>14</v>
      </c>
      <c r="B240" t="s">
        <v>3191</v>
      </c>
      <c r="C240" t="s">
        <v>3192</v>
      </c>
      <c r="D240" t="s">
        <v>3206</v>
      </c>
      <c r="E240" t="s">
        <v>3207</v>
      </c>
      <c r="F240" t="s">
        <v>2565</v>
      </c>
      <c r="G240" t="s">
        <v>3208</v>
      </c>
    </row>
    <row r="241" spans="1:7" ht="11.25" customHeight="1">
      <c r="A241" t="s">
        <v>14</v>
      </c>
      <c r="B241" t="s">
        <v>3191</v>
      </c>
      <c r="C241" t="s">
        <v>3192</v>
      </c>
      <c r="D241" t="s">
        <v>3209</v>
      </c>
      <c r="E241" t="s">
        <v>3210</v>
      </c>
      <c r="F241" t="s">
        <v>2565</v>
      </c>
      <c r="G241" t="s">
        <v>3211</v>
      </c>
    </row>
    <row r="242" spans="1:7" ht="11.25" customHeight="1">
      <c r="A242" t="s">
        <v>14</v>
      </c>
      <c r="B242" t="s">
        <v>3191</v>
      </c>
      <c r="C242" t="s">
        <v>3192</v>
      </c>
      <c r="D242" t="s">
        <v>3212</v>
      </c>
      <c r="E242" t="s">
        <v>3213</v>
      </c>
      <c r="F242" t="s">
        <v>2565</v>
      </c>
      <c r="G242" t="s">
        <v>3214</v>
      </c>
    </row>
    <row r="243" spans="1:7" ht="11.25" customHeight="1">
      <c r="A243" t="s">
        <v>14</v>
      </c>
      <c r="B243" t="s">
        <v>3191</v>
      </c>
      <c r="C243" t="s">
        <v>3192</v>
      </c>
      <c r="D243" t="s">
        <v>3215</v>
      </c>
      <c r="E243" t="s">
        <v>3216</v>
      </c>
      <c r="F243" t="s">
        <v>2565</v>
      </c>
      <c r="G243" t="s">
        <v>3217</v>
      </c>
    </row>
    <row r="244" spans="1:7" ht="11.25" customHeight="1">
      <c r="A244" t="s">
        <v>14</v>
      </c>
      <c r="B244" t="s">
        <v>3191</v>
      </c>
      <c r="C244" t="s">
        <v>3192</v>
      </c>
      <c r="D244" t="s">
        <v>2839</v>
      </c>
      <c r="E244" t="s">
        <v>3218</v>
      </c>
      <c r="F244" t="s">
        <v>2565</v>
      </c>
      <c r="G244" t="s">
        <v>3219</v>
      </c>
    </row>
    <row r="245" spans="1:7" ht="11.25" customHeight="1">
      <c r="A245" t="s">
        <v>14</v>
      </c>
      <c r="B245" t="s">
        <v>3191</v>
      </c>
      <c r="C245" t="s">
        <v>3192</v>
      </c>
      <c r="D245" t="s">
        <v>3220</v>
      </c>
      <c r="E245" t="s">
        <v>3221</v>
      </c>
      <c r="F245" t="s">
        <v>2565</v>
      </c>
      <c r="G245" t="s">
        <v>3222</v>
      </c>
    </row>
    <row r="246" spans="1:7" ht="11.25" customHeight="1">
      <c r="A246" t="s">
        <v>14</v>
      </c>
      <c r="B246" t="s">
        <v>3191</v>
      </c>
      <c r="C246" t="s">
        <v>3192</v>
      </c>
      <c r="D246" t="s">
        <v>3223</v>
      </c>
      <c r="E246" t="s">
        <v>3224</v>
      </c>
      <c r="F246" t="s">
        <v>2565</v>
      </c>
      <c r="G246" t="s">
        <v>3225</v>
      </c>
    </row>
    <row r="247" spans="1:7" ht="11.25" customHeight="1">
      <c r="A247" t="s">
        <v>14</v>
      </c>
      <c r="B247" t="s">
        <v>3191</v>
      </c>
      <c r="C247" t="s">
        <v>3192</v>
      </c>
      <c r="D247" t="s">
        <v>3226</v>
      </c>
      <c r="E247" t="s">
        <v>3227</v>
      </c>
      <c r="F247" t="s">
        <v>2565</v>
      </c>
      <c r="G247" t="s">
        <v>3228</v>
      </c>
    </row>
    <row r="248" spans="1:7" ht="11.25" customHeight="1">
      <c r="A248" t="s">
        <v>14</v>
      </c>
      <c r="B248" t="s">
        <v>3191</v>
      </c>
      <c r="C248" t="s">
        <v>3192</v>
      </c>
      <c r="D248" t="s">
        <v>3191</v>
      </c>
      <c r="E248" t="s">
        <v>3192</v>
      </c>
      <c r="F248" t="s">
        <v>2562</v>
      </c>
      <c r="G248" t="s">
        <v>3229</v>
      </c>
    </row>
    <row r="249" spans="1:7" ht="11.25" customHeight="1">
      <c r="A249" t="s">
        <v>14</v>
      </c>
      <c r="B249" t="s">
        <v>3191</v>
      </c>
      <c r="C249" t="s">
        <v>3192</v>
      </c>
      <c r="D249" t="s">
        <v>3230</v>
      </c>
      <c r="E249" t="s">
        <v>3231</v>
      </c>
      <c r="F249" t="s">
        <v>2565</v>
      </c>
      <c r="G249" t="s">
        <v>3232</v>
      </c>
    </row>
    <row r="250" spans="1:7" ht="11.25" customHeight="1">
      <c r="A250" t="s">
        <v>14</v>
      </c>
      <c r="B250" t="s">
        <v>3191</v>
      </c>
      <c r="C250" t="s">
        <v>3192</v>
      </c>
      <c r="D250" t="s">
        <v>3233</v>
      </c>
      <c r="E250" t="s">
        <v>3234</v>
      </c>
      <c r="F250" t="s">
        <v>2565</v>
      </c>
      <c r="G250" t="s">
        <v>3235</v>
      </c>
    </row>
    <row r="251" spans="1:7" ht="11.25" customHeight="1">
      <c r="A251" t="s">
        <v>14</v>
      </c>
      <c r="B251" t="s">
        <v>3191</v>
      </c>
      <c r="C251" t="s">
        <v>3192</v>
      </c>
      <c r="D251" t="s">
        <v>3236</v>
      </c>
      <c r="E251" t="s">
        <v>3237</v>
      </c>
      <c r="F251" t="s">
        <v>2565</v>
      </c>
      <c r="G251" t="s">
        <v>3238</v>
      </c>
    </row>
    <row r="252" spans="1:7" ht="11.25" customHeight="1">
      <c r="A252" t="s">
        <v>14</v>
      </c>
      <c r="B252" t="s">
        <v>3191</v>
      </c>
      <c r="C252" t="s">
        <v>3192</v>
      </c>
      <c r="D252" t="s">
        <v>3239</v>
      </c>
      <c r="E252" t="s">
        <v>3240</v>
      </c>
      <c r="F252" t="s">
        <v>2565</v>
      </c>
      <c r="G252" t="s">
        <v>3241</v>
      </c>
    </row>
    <row r="253" spans="1:7" ht="11.25" customHeight="1">
      <c r="A253" t="s">
        <v>14</v>
      </c>
      <c r="B253" t="s">
        <v>3191</v>
      </c>
      <c r="C253" t="s">
        <v>3192</v>
      </c>
      <c r="D253" t="s">
        <v>3242</v>
      </c>
      <c r="E253" t="s">
        <v>3243</v>
      </c>
      <c r="F253" t="s">
        <v>2608</v>
      </c>
      <c r="G253" t="s">
        <v>3244</v>
      </c>
    </row>
    <row r="254" spans="1:7" ht="11.25" customHeight="1">
      <c r="A254" t="s">
        <v>14</v>
      </c>
      <c r="B254" t="s">
        <v>3245</v>
      </c>
      <c r="C254" t="s">
        <v>3246</v>
      </c>
      <c r="D254" t="s">
        <v>3247</v>
      </c>
      <c r="E254" t="s">
        <v>3248</v>
      </c>
      <c r="F254" t="s">
        <v>2565</v>
      </c>
      <c r="G254" t="s">
        <v>3249</v>
      </c>
    </row>
    <row r="255" spans="1:7" ht="11.25" customHeight="1">
      <c r="A255" t="s">
        <v>14</v>
      </c>
      <c r="B255" t="s">
        <v>3245</v>
      </c>
      <c r="C255" t="s">
        <v>3246</v>
      </c>
      <c r="D255" t="s">
        <v>3250</v>
      </c>
      <c r="E255" t="s">
        <v>3251</v>
      </c>
      <c r="F255" t="s">
        <v>2565</v>
      </c>
      <c r="G255" t="s">
        <v>3252</v>
      </c>
    </row>
    <row r="256" spans="1:7" ht="11.25" customHeight="1">
      <c r="A256" t="s">
        <v>14</v>
      </c>
      <c r="B256" t="s">
        <v>3245</v>
      </c>
      <c r="C256" t="s">
        <v>3246</v>
      </c>
      <c r="D256" t="s">
        <v>3253</v>
      </c>
      <c r="E256" t="s">
        <v>3254</v>
      </c>
      <c r="F256" t="s">
        <v>2565</v>
      </c>
      <c r="G256" t="s">
        <v>3255</v>
      </c>
    </row>
    <row r="257" spans="1:7" ht="11.25" customHeight="1">
      <c r="A257" t="s">
        <v>14</v>
      </c>
      <c r="B257" t="s">
        <v>3245</v>
      </c>
      <c r="C257" t="s">
        <v>3246</v>
      </c>
      <c r="D257" t="s">
        <v>3256</v>
      </c>
      <c r="E257" t="s">
        <v>3257</v>
      </c>
      <c r="F257" t="s">
        <v>2565</v>
      </c>
      <c r="G257" t="s">
        <v>3258</v>
      </c>
    </row>
    <row r="258" spans="1:7" ht="11.25" customHeight="1">
      <c r="A258" t="s">
        <v>14</v>
      </c>
      <c r="B258" t="s">
        <v>3245</v>
      </c>
      <c r="C258" t="s">
        <v>3246</v>
      </c>
      <c r="D258" t="s">
        <v>3259</v>
      </c>
      <c r="E258" t="s">
        <v>3260</v>
      </c>
      <c r="F258" t="s">
        <v>2565</v>
      </c>
      <c r="G258" t="s">
        <v>3261</v>
      </c>
    </row>
    <row r="259" spans="1:7" ht="11.25" customHeight="1">
      <c r="A259" t="s">
        <v>14</v>
      </c>
      <c r="B259" t="s">
        <v>3245</v>
      </c>
      <c r="C259" t="s">
        <v>3246</v>
      </c>
      <c r="D259" t="s">
        <v>3262</v>
      </c>
      <c r="E259" t="s">
        <v>3263</v>
      </c>
      <c r="F259" t="s">
        <v>2565</v>
      </c>
      <c r="G259" t="s">
        <v>3264</v>
      </c>
    </row>
    <row r="260" spans="1:7" ht="11.25" customHeight="1">
      <c r="A260" t="s">
        <v>14</v>
      </c>
      <c r="B260" t="s">
        <v>3245</v>
      </c>
      <c r="C260" t="s">
        <v>3246</v>
      </c>
      <c r="D260" t="s">
        <v>3265</v>
      </c>
      <c r="E260" t="s">
        <v>3266</v>
      </c>
      <c r="F260" t="s">
        <v>2565</v>
      </c>
      <c r="G260" t="s">
        <v>3267</v>
      </c>
    </row>
    <row r="261" spans="1:7" ht="11.25" customHeight="1">
      <c r="A261" t="s">
        <v>14</v>
      </c>
      <c r="B261" t="s">
        <v>3245</v>
      </c>
      <c r="C261" t="s">
        <v>3246</v>
      </c>
      <c r="D261" t="s">
        <v>3268</v>
      </c>
      <c r="E261" t="s">
        <v>3269</v>
      </c>
      <c r="F261" t="s">
        <v>2565</v>
      </c>
      <c r="G261" t="s">
        <v>3270</v>
      </c>
    </row>
    <row r="262" spans="1:7" ht="11.25" customHeight="1">
      <c r="A262" t="s">
        <v>14</v>
      </c>
      <c r="B262" t="s">
        <v>3245</v>
      </c>
      <c r="C262" t="s">
        <v>3246</v>
      </c>
      <c r="D262" t="s">
        <v>3245</v>
      </c>
      <c r="E262" t="s">
        <v>3246</v>
      </c>
      <c r="F262" t="s">
        <v>2562</v>
      </c>
      <c r="G262" t="s">
        <v>3271</v>
      </c>
    </row>
    <row r="263" spans="1:7" ht="11.25" customHeight="1">
      <c r="A263" t="s">
        <v>14</v>
      </c>
      <c r="B263" t="s">
        <v>3245</v>
      </c>
      <c r="C263" t="s">
        <v>3246</v>
      </c>
      <c r="D263" t="s">
        <v>3272</v>
      </c>
      <c r="E263" t="s">
        <v>3273</v>
      </c>
      <c r="F263" t="s">
        <v>2565</v>
      </c>
      <c r="G263" t="s">
        <v>3274</v>
      </c>
    </row>
    <row r="264" spans="1:7" ht="11.25" customHeight="1">
      <c r="A264" t="s">
        <v>14</v>
      </c>
      <c r="B264" t="s">
        <v>3245</v>
      </c>
      <c r="C264" t="s">
        <v>3246</v>
      </c>
      <c r="D264" t="s">
        <v>3275</v>
      </c>
      <c r="E264" t="s">
        <v>3276</v>
      </c>
      <c r="F264" t="s">
        <v>2565</v>
      </c>
      <c r="G264" t="s">
        <v>3277</v>
      </c>
    </row>
    <row r="265" spans="1:7" ht="11.25" customHeight="1">
      <c r="A265" t="s">
        <v>14</v>
      </c>
      <c r="B265" t="s">
        <v>3245</v>
      </c>
      <c r="C265" t="s">
        <v>3246</v>
      </c>
      <c r="D265" t="s">
        <v>3278</v>
      </c>
      <c r="E265" t="s">
        <v>3279</v>
      </c>
      <c r="F265" t="s">
        <v>2565</v>
      </c>
      <c r="G265" t="s">
        <v>3280</v>
      </c>
    </row>
    <row r="266" spans="1:7" ht="11.25" customHeight="1">
      <c r="A266" t="s">
        <v>14</v>
      </c>
      <c r="B266" t="s">
        <v>3245</v>
      </c>
      <c r="C266" t="s">
        <v>3246</v>
      </c>
      <c r="D266" t="s">
        <v>3281</v>
      </c>
      <c r="E266" t="s">
        <v>3282</v>
      </c>
      <c r="F266" t="s">
        <v>2608</v>
      </c>
      <c r="G266" t="s">
        <v>3283</v>
      </c>
    </row>
    <row r="267" spans="1:7" ht="11.25" customHeight="1">
      <c r="A267" t="s">
        <v>14</v>
      </c>
      <c r="B267" t="s">
        <v>3245</v>
      </c>
      <c r="C267" t="s">
        <v>3246</v>
      </c>
      <c r="D267" t="s">
        <v>3284</v>
      </c>
      <c r="E267" t="s">
        <v>3285</v>
      </c>
      <c r="F267" t="s">
        <v>2608</v>
      </c>
      <c r="G267" t="s">
        <v>3286</v>
      </c>
    </row>
    <row r="268" spans="1:7" ht="11.25" customHeight="1">
      <c r="A268" t="s">
        <v>14</v>
      </c>
      <c r="B268" t="s">
        <v>3287</v>
      </c>
      <c r="C268" t="s">
        <v>3288</v>
      </c>
      <c r="D268" t="s">
        <v>3289</v>
      </c>
      <c r="E268" t="s">
        <v>3290</v>
      </c>
      <c r="F268" t="s">
        <v>2565</v>
      </c>
      <c r="G268" t="s">
        <v>3291</v>
      </c>
    </row>
    <row r="269" spans="1:7" ht="11.25" customHeight="1">
      <c r="A269" t="s">
        <v>14</v>
      </c>
      <c r="B269" t="s">
        <v>3287</v>
      </c>
      <c r="C269" t="s">
        <v>3288</v>
      </c>
      <c r="D269" t="s">
        <v>3292</v>
      </c>
      <c r="E269" t="s">
        <v>3293</v>
      </c>
      <c r="F269" t="s">
        <v>2565</v>
      </c>
      <c r="G269" t="s">
        <v>3294</v>
      </c>
    </row>
    <row r="270" spans="1:7" ht="11.25" customHeight="1">
      <c r="A270" t="s">
        <v>14</v>
      </c>
      <c r="B270" t="s">
        <v>3287</v>
      </c>
      <c r="C270" t="s">
        <v>3288</v>
      </c>
      <c r="D270" t="s">
        <v>3295</v>
      </c>
      <c r="E270" t="s">
        <v>3296</v>
      </c>
      <c r="F270" t="s">
        <v>2565</v>
      </c>
      <c r="G270" t="s">
        <v>3297</v>
      </c>
    </row>
    <row r="271" spans="1:7" ht="11.25" customHeight="1">
      <c r="A271" t="s">
        <v>14</v>
      </c>
      <c r="B271" t="s">
        <v>3287</v>
      </c>
      <c r="C271" t="s">
        <v>3288</v>
      </c>
      <c r="D271" t="s">
        <v>3298</v>
      </c>
      <c r="E271" t="s">
        <v>3299</v>
      </c>
      <c r="F271" t="s">
        <v>2565</v>
      </c>
      <c r="G271" t="s">
        <v>3300</v>
      </c>
    </row>
    <row r="272" spans="1:7" ht="11.25" customHeight="1">
      <c r="A272" t="s">
        <v>14</v>
      </c>
      <c r="B272" t="s">
        <v>3287</v>
      </c>
      <c r="C272" t="s">
        <v>3288</v>
      </c>
      <c r="D272" t="s">
        <v>3301</v>
      </c>
      <c r="E272" t="s">
        <v>3302</v>
      </c>
      <c r="F272" t="s">
        <v>2565</v>
      </c>
      <c r="G272" t="s">
        <v>3303</v>
      </c>
    </row>
    <row r="273" spans="1:7" ht="11.25" customHeight="1">
      <c r="A273" t="s">
        <v>14</v>
      </c>
      <c r="B273" t="s">
        <v>3287</v>
      </c>
      <c r="C273" t="s">
        <v>3288</v>
      </c>
      <c r="D273" t="s">
        <v>3304</v>
      </c>
      <c r="E273" t="s">
        <v>3305</v>
      </c>
      <c r="F273" t="s">
        <v>2565</v>
      </c>
      <c r="G273" t="s">
        <v>3306</v>
      </c>
    </row>
    <row r="274" spans="1:7" ht="11.25" customHeight="1">
      <c r="A274" t="s">
        <v>14</v>
      </c>
      <c r="B274" t="s">
        <v>3287</v>
      </c>
      <c r="C274" t="s">
        <v>3288</v>
      </c>
      <c r="D274" t="s">
        <v>3307</v>
      </c>
      <c r="E274" t="s">
        <v>3308</v>
      </c>
      <c r="F274" t="s">
        <v>2565</v>
      </c>
      <c r="G274" t="s">
        <v>3309</v>
      </c>
    </row>
    <row r="275" spans="1:7" ht="11.25" customHeight="1">
      <c r="A275" t="s">
        <v>14</v>
      </c>
      <c r="B275" t="s">
        <v>3287</v>
      </c>
      <c r="C275" t="s">
        <v>3288</v>
      </c>
      <c r="D275" t="s">
        <v>3310</v>
      </c>
      <c r="E275" t="s">
        <v>3311</v>
      </c>
      <c r="F275" t="s">
        <v>2565</v>
      </c>
      <c r="G275" t="s">
        <v>3312</v>
      </c>
    </row>
    <row r="276" spans="1:7" ht="11.25" customHeight="1">
      <c r="A276" t="s">
        <v>14</v>
      </c>
      <c r="B276" t="s">
        <v>3287</v>
      </c>
      <c r="C276" t="s">
        <v>3288</v>
      </c>
      <c r="D276" t="s">
        <v>3313</v>
      </c>
      <c r="E276" t="s">
        <v>3314</v>
      </c>
      <c r="F276" t="s">
        <v>2565</v>
      </c>
      <c r="G276" t="s">
        <v>3315</v>
      </c>
    </row>
    <row r="277" spans="1:7" ht="11.25" customHeight="1">
      <c r="A277" t="s">
        <v>14</v>
      </c>
      <c r="B277" t="s">
        <v>3287</v>
      </c>
      <c r="C277" t="s">
        <v>3288</v>
      </c>
      <c r="D277" t="s">
        <v>3287</v>
      </c>
      <c r="E277" t="s">
        <v>3288</v>
      </c>
      <c r="F277" t="s">
        <v>2562</v>
      </c>
      <c r="G277" t="s">
        <v>3316</v>
      </c>
    </row>
    <row r="278" spans="1:7" ht="11.25" customHeight="1">
      <c r="A278" t="s">
        <v>14</v>
      </c>
      <c r="B278" t="s">
        <v>3287</v>
      </c>
      <c r="C278" t="s">
        <v>3288</v>
      </c>
      <c r="D278" t="s">
        <v>3317</v>
      </c>
      <c r="E278" t="s">
        <v>3318</v>
      </c>
      <c r="F278" t="s">
        <v>2565</v>
      </c>
      <c r="G278" t="s">
        <v>3319</v>
      </c>
    </row>
    <row r="279" spans="1:7" ht="11.25" customHeight="1">
      <c r="A279" t="s">
        <v>14</v>
      </c>
      <c r="B279" t="s">
        <v>3287</v>
      </c>
      <c r="C279" t="s">
        <v>3288</v>
      </c>
      <c r="D279" t="s">
        <v>3320</v>
      </c>
      <c r="E279" t="s">
        <v>3321</v>
      </c>
      <c r="F279" t="s">
        <v>2565</v>
      </c>
      <c r="G279" t="s">
        <v>3322</v>
      </c>
    </row>
    <row r="280" spans="1:7" ht="11.25" customHeight="1">
      <c r="A280" t="s">
        <v>14</v>
      </c>
      <c r="B280" t="s">
        <v>3287</v>
      </c>
      <c r="C280" t="s">
        <v>3288</v>
      </c>
      <c r="D280" t="s">
        <v>3323</v>
      </c>
      <c r="E280" t="s">
        <v>3324</v>
      </c>
      <c r="F280" t="s">
        <v>2608</v>
      </c>
      <c r="G280" t="s">
        <v>3325</v>
      </c>
    </row>
    <row r="281" spans="1:7" ht="11.25" customHeight="1">
      <c r="A281" t="s">
        <v>14</v>
      </c>
      <c r="B281" t="s">
        <v>100</v>
      </c>
      <c r="C281" t="s">
        <v>101</v>
      </c>
      <c r="D281" t="s">
        <v>100</v>
      </c>
      <c r="E281" t="s">
        <v>101</v>
      </c>
      <c r="F281" t="s">
        <v>2559</v>
      </c>
      <c r="G281" t="s">
        <v>99</v>
      </c>
    </row>
    <row r="282" spans="1:7" ht="11.25" customHeight="1">
      <c r="A282" t="s">
        <v>14</v>
      </c>
      <c r="B282" t="s">
        <v>3326</v>
      </c>
      <c r="C282" t="s">
        <v>3327</v>
      </c>
      <c r="D282" t="s">
        <v>3328</v>
      </c>
      <c r="E282" t="s">
        <v>3329</v>
      </c>
      <c r="F282" t="s">
        <v>2565</v>
      </c>
      <c r="G282" t="s">
        <v>3330</v>
      </c>
    </row>
    <row r="283" spans="1:7" ht="11.25" customHeight="1">
      <c r="A283" t="s">
        <v>14</v>
      </c>
      <c r="B283" t="s">
        <v>3326</v>
      </c>
      <c r="C283" t="s">
        <v>3327</v>
      </c>
      <c r="D283" t="s">
        <v>3331</v>
      </c>
      <c r="E283" t="s">
        <v>3332</v>
      </c>
      <c r="F283" t="s">
        <v>2565</v>
      </c>
      <c r="G283" t="s">
        <v>3333</v>
      </c>
    </row>
    <row r="284" spans="1:7" ht="11.25" customHeight="1">
      <c r="A284" t="s">
        <v>14</v>
      </c>
      <c r="B284" t="s">
        <v>3326</v>
      </c>
      <c r="C284" t="s">
        <v>3327</v>
      </c>
      <c r="D284" t="s">
        <v>3334</v>
      </c>
      <c r="E284" t="s">
        <v>3335</v>
      </c>
      <c r="F284" t="s">
        <v>2565</v>
      </c>
      <c r="G284" t="s">
        <v>3336</v>
      </c>
    </row>
    <row r="285" spans="1:7" ht="11.25" customHeight="1">
      <c r="A285" t="s">
        <v>14</v>
      </c>
      <c r="B285" t="s">
        <v>3326</v>
      </c>
      <c r="C285" t="s">
        <v>3327</v>
      </c>
      <c r="D285" t="s">
        <v>3337</v>
      </c>
      <c r="E285" t="s">
        <v>3338</v>
      </c>
      <c r="F285" t="s">
        <v>2565</v>
      </c>
      <c r="G285" t="s">
        <v>3339</v>
      </c>
    </row>
    <row r="286" spans="1:7" ht="11.25" customHeight="1">
      <c r="A286" t="s">
        <v>14</v>
      </c>
      <c r="B286" t="s">
        <v>3326</v>
      </c>
      <c r="C286" t="s">
        <v>3327</v>
      </c>
      <c r="D286" t="s">
        <v>3340</v>
      </c>
      <c r="E286" t="s">
        <v>3341</v>
      </c>
      <c r="F286" t="s">
        <v>2565</v>
      </c>
      <c r="G286" t="s">
        <v>3342</v>
      </c>
    </row>
    <row r="287" spans="1:7" ht="11.25" customHeight="1">
      <c r="A287" t="s">
        <v>14</v>
      </c>
      <c r="B287" t="s">
        <v>3326</v>
      </c>
      <c r="C287" t="s">
        <v>3327</v>
      </c>
      <c r="D287" t="s">
        <v>3343</v>
      </c>
      <c r="E287" t="s">
        <v>3344</v>
      </c>
      <c r="F287" t="s">
        <v>2565</v>
      </c>
      <c r="G287" t="s">
        <v>3345</v>
      </c>
    </row>
    <row r="288" spans="1:7" ht="11.25" customHeight="1">
      <c r="A288" t="s">
        <v>14</v>
      </c>
      <c r="B288" t="s">
        <v>3326</v>
      </c>
      <c r="C288" t="s">
        <v>3327</v>
      </c>
      <c r="D288" t="s">
        <v>3346</v>
      </c>
      <c r="E288" t="s">
        <v>3347</v>
      </c>
      <c r="F288" t="s">
        <v>2565</v>
      </c>
      <c r="G288" t="s">
        <v>3348</v>
      </c>
    </row>
    <row r="289" spans="1:7" ht="11.25" customHeight="1">
      <c r="A289" t="s">
        <v>14</v>
      </c>
      <c r="B289" t="s">
        <v>3326</v>
      </c>
      <c r="C289" t="s">
        <v>3327</v>
      </c>
      <c r="D289" t="s">
        <v>3349</v>
      </c>
      <c r="E289" t="s">
        <v>3350</v>
      </c>
      <c r="F289" t="s">
        <v>2565</v>
      </c>
      <c r="G289" t="s">
        <v>3351</v>
      </c>
    </row>
    <row r="290" spans="1:7" ht="11.25" customHeight="1">
      <c r="A290" t="s">
        <v>14</v>
      </c>
      <c r="B290" t="s">
        <v>3326</v>
      </c>
      <c r="C290" t="s">
        <v>3327</v>
      </c>
      <c r="D290" t="s">
        <v>3352</v>
      </c>
      <c r="E290" t="s">
        <v>3353</v>
      </c>
      <c r="F290" t="s">
        <v>2565</v>
      </c>
      <c r="G290" t="s">
        <v>3354</v>
      </c>
    </row>
    <row r="291" spans="1:7" ht="11.25" customHeight="1">
      <c r="A291" t="s">
        <v>14</v>
      </c>
      <c r="B291" t="s">
        <v>3326</v>
      </c>
      <c r="C291" t="s">
        <v>3327</v>
      </c>
      <c r="D291" t="s">
        <v>3355</v>
      </c>
      <c r="E291" t="s">
        <v>3356</v>
      </c>
      <c r="F291" t="s">
        <v>2565</v>
      </c>
      <c r="G291" t="s">
        <v>3357</v>
      </c>
    </row>
    <row r="292" spans="1:7" ht="11.25" customHeight="1">
      <c r="A292" t="s">
        <v>14</v>
      </c>
      <c r="B292" t="s">
        <v>3326</v>
      </c>
      <c r="C292" t="s">
        <v>3327</v>
      </c>
      <c r="D292" t="s">
        <v>3358</v>
      </c>
      <c r="E292" t="s">
        <v>3359</v>
      </c>
      <c r="F292" t="s">
        <v>2565</v>
      </c>
      <c r="G292" t="s">
        <v>3360</v>
      </c>
    </row>
    <row r="293" spans="1:7" ht="11.25" customHeight="1">
      <c r="A293" t="s">
        <v>14</v>
      </c>
      <c r="B293" t="s">
        <v>3326</v>
      </c>
      <c r="C293" t="s">
        <v>3327</v>
      </c>
      <c r="D293" t="s">
        <v>3361</v>
      </c>
      <c r="E293" t="s">
        <v>3362</v>
      </c>
      <c r="F293" t="s">
        <v>2565</v>
      </c>
      <c r="G293" t="s">
        <v>3363</v>
      </c>
    </row>
    <row r="294" spans="1:7" ht="11.25" customHeight="1">
      <c r="A294" t="s">
        <v>14</v>
      </c>
      <c r="B294" t="s">
        <v>3326</v>
      </c>
      <c r="C294" t="s">
        <v>3327</v>
      </c>
      <c r="D294" t="s">
        <v>3364</v>
      </c>
      <c r="E294" t="s">
        <v>3365</v>
      </c>
      <c r="F294" t="s">
        <v>2565</v>
      </c>
      <c r="G294" t="s">
        <v>3366</v>
      </c>
    </row>
    <row r="295" spans="1:7" ht="11.25" customHeight="1">
      <c r="A295" t="s">
        <v>14</v>
      </c>
      <c r="B295" t="s">
        <v>3326</v>
      </c>
      <c r="C295" t="s">
        <v>3327</v>
      </c>
      <c r="D295" t="s">
        <v>3367</v>
      </c>
      <c r="E295" t="s">
        <v>3368</v>
      </c>
      <c r="F295" t="s">
        <v>2565</v>
      </c>
      <c r="G295" t="s">
        <v>3369</v>
      </c>
    </row>
    <row r="296" spans="1:7" ht="11.25" customHeight="1">
      <c r="A296" t="s">
        <v>14</v>
      </c>
      <c r="B296" t="s">
        <v>3326</v>
      </c>
      <c r="C296" t="s">
        <v>3327</v>
      </c>
      <c r="D296" t="s">
        <v>3370</v>
      </c>
      <c r="E296" t="s">
        <v>3371</v>
      </c>
      <c r="F296" t="s">
        <v>2565</v>
      </c>
      <c r="G296" t="s">
        <v>3372</v>
      </c>
    </row>
    <row r="297" spans="1:7" ht="11.25" customHeight="1">
      <c r="A297" t="s">
        <v>14</v>
      </c>
      <c r="B297" t="s">
        <v>3326</v>
      </c>
      <c r="C297" t="s">
        <v>3327</v>
      </c>
      <c r="D297" t="s">
        <v>3326</v>
      </c>
      <c r="E297" t="s">
        <v>3327</v>
      </c>
      <c r="F297" t="s">
        <v>2562</v>
      </c>
      <c r="G297" t="s">
        <v>3373</v>
      </c>
    </row>
    <row r="298" spans="1:7" ht="11.25" customHeight="1">
      <c r="A298" t="s">
        <v>14</v>
      </c>
      <c r="B298" t="s">
        <v>3326</v>
      </c>
      <c r="C298" t="s">
        <v>3327</v>
      </c>
      <c r="D298" t="s">
        <v>3374</v>
      </c>
      <c r="E298" t="s">
        <v>3375</v>
      </c>
      <c r="F298" t="s">
        <v>2608</v>
      </c>
      <c r="G298" t="s">
        <v>3376</v>
      </c>
    </row>
    <row r="299" spans="1:7" ht="11.25" customHeight="1">
      <c r="A299" t="s">
        <v>14</v>
      </c>
      <c r="B299" t="s">
        <v>3377</v>
      </c>
      <c r="C299" t="s">
        <v>3378</v>
      </c>
      <c r="D299" t="s">
        <v>3377</v>
      </c>
      <c r="E299" t="s">
        <v>3378</v>
      </c>
      <c r="F299" t="s">
        <v>2559</v>
      </c>
      <c r="G299" t="s">
        <v>3379</v>
      </c>
    </row>
    <row r="300" spans="1:7" ht="11.25" customHeight="1">
      <c r="A300" t="s">
        <v>14</v>
      </c>
      <c r="B300" t="s">
        <v>3380</v>
      </c>
      <c r="C300" t="s">
        <v>3381</v>
      </c>
      <c r="D300" t="s">
        <v>3380</v>
      </c>
      <c r="E300" t="s">
        <v>3381</v>
      </c>
      <c r="F300" t="s">
        <v>2559</v>
      </c>
      <c r="G300" t="s">
        <v>3382</v>
      </c>
    </row>
    <row r="301" spans="1:7" ht="11.25" customHeight="1">
      <c r="A301" t="s">
        <v>14</v>
      </c>
      <c r="B301" t="s">
        <v>3383</v>
      </c>
      <c r="C301" t="s">
        <v>3384</v>
      </c>
      <c r="D301" t="s">
        <v>2796</v>
      </c>
      <c r="E301" t="s">
        <v>3385</v>
      </c>
      <c r="F301" t="s">
        <v>2565</v>
      </c>
      <c r="G301" t="s">
        <v>3386</v>
      </c>
    </row>
    <row r="302" spans="1:7" ht="11.25" customHeight="1">
      <c r="A302" t="s">
        <v>14</v>
      </c>
      <c r="B302" t="s">
        <v>3383</v>
      </c>
      <c r="C302" t="s">
        <v>3384</v>
      </c>
      <c r="D302" t="s">
        <v>3387</v>
      </c>
      <c r="E302" t="s">
        <v>3388</v>
      </c>
      <c r="F302" t="s">
        <v>2565</v>
      </c>
      <c r="G302" t="s">
        <v>3389</v>
      </c>
    </row>
    <row r="303" spans="1:7" ht="11.25" customHeight="1">
      <c r="A303" t="s">
        <v>14</v>
      </c>
      <c r="B303" t="s">
        <v>3383</v>
      </c>
      <c r="C303" t="s">
        <v>3384</v>
      </c>
      <c r="D303" t="s">
        <v>3390</v>
      </c>
      <c r="E303" t="s">
        <v>3391</v>
      </c>
      <c r="F303" t="s">
        <v>2565</v>
      </c>
      <c r="G303" t="s">
        <v>3392</v>
      </c>
    </row>
    <row r="304" spans="1:7" ht="11.25" customHeight="1">
      <c r="A304" t="s">
        <v>14</v>
      </c>
      <c r="B304" t="s">
        <v>3383</v>
      </c>
      <c r="C304" t="s">
        <v>3384</v>
      </c>
      <c r="D304" t="s">
        <v>3393</v>
      </c>
      <c r="E304" t="s">
        <v>3394</v>
      </c>
      <c r="F304" t="s">
        <v>2565</v>
      </c>
      <c r="G304" t="s">
        <v>3395</v>
      </c>
    </row>
    <row r="305" spans="1:7" ht="11.25" customHeight="1">
      <c r="A305" t="s">
        <v>14</v>
      </c>
      <c r="B305" t="s">
        <v>3383</v>
      </c>
      <c r="C305" t="s">
        <v>3384</v>
      </c>
      <c r="D305" t="s">
        <v>3259</v>
      </c>
      <c r="E305" t="s">
        <v>3396</v>
      </c>
      <c r="F305" t="s">
        <v>2565</v>
      </c>
      <c r="G305" t="s">
        <v>3397</v>
      </c>
    </row>
    <row r="306" spans="1:7" ht="11.25" customHeight="1">
      <c r="A306" t="s">
        <v>14</v>
      </c>
      <c r="B306" t="s">
        <v>3383</v>
      </c>
      <c r="C306" t="s">
        <v>3384</v>
      </c>
      <c r="D306" t="s">
        <v>3398</v>
      </c>
      <c r="E306" t="s">
        <v>3399</v>
      </c>
      <c r="F306" t="s">
        <v>2565</v>
      </c>
      <c r="G306" t="s">
        <v>3400</v>
      </c>
    </row>
    <row r="307" spans="1:7" ht="11.25" customHeight="1">
      <c r="A307" t="s">
        <v>14</v>
      </c>
      <c r="B307" t="s">
        <v>3383</v>
      </c>
      <c r="C307" t="s">
        <v>3384</v>
      </c>
      <c r="D307" t="s">
        <v>3401</v>
      </c>
      <c r="E307" t="s">
        <v>3402</v>
      </c>
      <c r="F307" t="s">
        <v>2565</v>
      </c>
      <c r="G307" t="s">
        <v>3403</v>
      </c>
    </row>
    <row r="308" spans="1:7" ht="11.25" customHeight="1">
      <c r="A308" t="s">
        <v>14</v>
      </c>
      <c r="B308" t="s">
        <v>3383</v>
      </c>
      <c r="C308" t="s">
        <v>3384</v>
      </c>
      <c r="D308" t="s">
        <v>3404</v>
      </c>
      <c r="E308" t="s">
        <v>3405</v>
      </c>
      <c r="F308" t="s">
        <v>2565</v>
      </c>
      <c r="G308" t="s">
        <v>3406</v>
      </c>
    </row>
    <row r="309" spans="1:7" ht="11.25" customHeight="1">
      <c r="A309" t="s">
        <v>14</v>
      </c>
      <c r="B309" t="s">
        <v>3383</v>
      </c>
      <c r="C309" t="s">
        <v>3384</v>
      </c>
      <c r="D309" t="s">
        <v>3407</v>
      </c>
      <c r="E309" t="s">
        <v>3408</v>
      </c>
      <c r="F309" t="s">
        <v>2565</v>
      </c>
      <c r="G309" t="s">
        <v>3409</v>
      </c>
    </row>
    <row r="310" spans="1:7" ht="11.25" customHeight="1">
      <c r="A310" t="s">
        <v>14</v>
      </c>
      <c r="B310" t="s">
        <v>3383</v>
      </c>
      <c r="C310" t="s">
        <v>3384</v>
      </c>
      <c r="D310" t="s">
        <v>3410</v>
      </c>
      <c r="E310" t="s">
        <v>3411</v>
      </c>
      <c r="F310" t="s">
        <v>2565</v>
      </c>
      <c r="G310" t="s">
        <v>3412</v>
      </c>
    </row>
    <row r="311" spans="1:7" ht="11.25" customHeight="1">
      <c r="A311" t="s">
        <v>14</v>
      </c>
      <c r="B311" t="s">
        <v>3383</v>
      </c>
      <c r="C311" t="s">
        <v>3384</v>
      </c>
      <c r="D311" t="s">
        <v>3413</v>
      </c>
      <c r="E311" t="s">
        <v>3414</v>
      </c>
      <c r="F311" t="s">
        <v>2565</v>
      </c>
      <c r="G311" t="s">
        <v>3415</v>
      </c>
    </row>
    <row r="312" spans="1:7" ht="11.25" customHeight="1">
      <c r="A312" t="s">
        <v>14</v>
      </c>
      <c r="B312" t="s">
        <v>3383</v>
      </c>
      <c r="C312" t="s">
        <v>3384</v>
      </c>
      <c r="D312" t="s">
        <v>2737</v>
      </c>
      <c r="E312" t="s">
        <v>3416</v>
      </c>
      <c r="F312" t="s">
        <v>2565</v>
      </c>
      <c r="G312" t="s">
        <v>3417</v>
      </c>
    </row>
    <row r="313" spans="1:7" ht="11.25" customHeight="1">
      <c r="A313" t="s">
        <v>14</v>
      </c>
      <c r="B313" t="s">
        <v>3383</v>
      </c>
      <c r="C313" t="s">
        <v>3384</v>
      </c>
      <c r="D313" t="s">
        <v>2596</v>
      </c>
      <c r="E313" t="s">
        <v>3418</v>
      </c>
      <c r="F313" t="s">
        <v>2565</v>
      </c>
      <c r="G313" t="s">
        <v>3419</v>
      </c>
    </row>
    <row r="314" spans="1:7" ht="11.25" customHeight="1">
      <c r="A314" t="s">
        <v>14</v>
      </c>
      <c r="B314" t="s">
        <v>3383</v>
      </c>
      <c r="C314" t="s">
        <v>3384</v>
      </c>
      <c r="D314" t="s">
        <v>3420</v>
      </c>
      <c r="E314" t="s">
        <v>3421</v>
      </c>
      <c r="F314" t="s">
        <v>2565</v>
      </c>
      <c r="G314" t="s">
        <v>3422</v>
      </c>
    </row>
    <row r="315" spans="1:7" ht="11.25" customHeight="1">
      <c r="A315" t="s">
        <v>14</v>
      </c>
      <c r="B315" t="s">
        <v>3383</v>
      </c>
      <c r="C315" t="s">
        <v>3384</v>
      </c>
      <c r="D315" t="s">
        <v>3383</v>
      </c>
      <c r="E315" t="s">
        <v>3384</v>
      </c>
      <c r="F315" t="s">
        <v>2562</v>
      </c>
      <c r="G315" t="s">
        <v>3423</v>
      </c>
    </row>
    <row r="316" spans="1:7" ht="11.25" customHeight="1">
      <c r="A316" t="s">
        <v>14</v>
      </c>
      <c r="B316" t="s">
        <v>3383</v>
      </c>
      <c r="C316" t="s">
        <v>3384</v>
      </c>
      <c r="D316" t="s">
        <v>3424</v>
      </c>
      <c r="E316" t="s">
        <v>3425</v>
      </c>
      <c r="F316" t="s">
        <v>2742</v>
      </c>
      <c r="G316" t="s">
        <v>3426</v>
      </c>
    </row>
    <row r="317" spans="1:7" ht="11.25" customHeight="1">
      <c r="A317" t="s">
        <v>14</v>
      </c>
      <c r="B317" t="s">
        <v>3383</v>
      </c>
      <c r="C317" t="s">
        <v>3384</v>
      </c>
      <c r="D317" t="s">
        <v>3427</v>
      </c>
      <c r="E317" t="s">
        <v>3428</v>
      </c>
      <c r="F317" t="s">
        <v>2608</v>
      </c>
      <c r="G317" t="s">
        <v>3429</v>
      </c>
    </row>
    <row r="318" spans="1:7" ht="11.25" customHeight="1">
      <c r="A318" t="s">
        <v>14</v>
      </c>
      <c r="B318" t="s">
        <v>3383</v>
      </c>
      <c r="C318" t="s">
        <v>3384</v>
      </c>
      <c r="D318" t="s">
        <v>3430</v>
      </c>
      <c r="E318" t="s">
        <v>3431</v>
      </c>
      <c r="F318" t="s">
        <v>2608</v>
      </c>
      <c r="G318" t="s">
        <v>3432</v>
      </c>
    </row>
    <row r="319" spans="1:7" ht="11.25" customHeight="1">
      <c r="A319" t="s">
        <v>14</v>
      </c>
      <c r="B319" t="s">
        <v>3433</v>
      </c>
      <c r="C319" t="s">
        <v>3434</v>
      </c>
      <c r="D319" t="s">
        <v>3433</v>
      </c>
      <c r="E319" t="s">
        <v>3434</v>
      </c>
      <c r="F319" t="s">
        <v>2559</v>
      </c>
      <c r="G319" t="s">
        <v>3435</v>
      </c>
    </row>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1:C3"/>
  <sheetViews>
    <sheetView showGridLines="0" workbookViewId="0"/>
  </sheetViews>
  <sheetFormatPr defaultColWidth="9.140625" defaultRowHeight="11.25" customHeight="1"/>
  <cols>
    <col min="1" max="1" width="9.140625" style="1607"/>
    <col min="2" max="2" width="84.28515625" style="1607" customWidth="1"/>
    <col min="3" max="3" width="9.140625" style="1607"/>
  </cols>
  <sheetData>
    <row r="1" spans="1:3" ht="11.25" customHeight="1">
      <c r="A1" s="748" t="s">
        <v>3465</v>
      </c>
      <c r="B1" s="748" t="s">
        <v>3466</v>
      </c>
      <c r="C1" s="748" t="s">
        <v>556</v>
      </c>
    </row>
    <row r="2" spans="1:3" ht="11.25" customHeight="1">
      <c r="A2" s="748">
        <v>4189678</v>
      </c>
      <c r="B2" s="748" t="s">
        <v>3467</v>
      </c>
      <c r="C2" s="748" t="s">
        <v>3468</v>
      </c>
    </row>
    <row r="3" spans="1:3" ht="11.25" customHeight="1">
      <c r="A3" s="748">
        <v>4190415</v>
      </c>
      <c r="B3" s="748" t="s">
        <v>3469</v>
      </c>
      <c r="C3" s="748" t="s">
        <v>3468</v>
      </c>
    </row>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1:E8"/>
  <sheetViews>
    <sheetView showGridLines="0" workbookViewId="0"/>
  </sheetViews>
  <sheetFormatPr defaultColWidth="9.140625" defaultRowHeight="15" customHeight="1"/>
  <cols>
    <col min="1" max="1" width="38.42578125" style="80" customWidth="1"/>
    <col min="2" max="5" width="9.140625" style="80"/>
  </cols>
  <sheetData>
    <row r="1" spans="1:5" ht="15" customHeight="1">
      <c r="A1" s="81" t="s">
        <v>3470</v>
      </c>
      <c r="B1" s="81" t="s">
        <v>3471</v>
      </c>
      <c r="C1" s="81"/>
      <c r="D1" s="81"/>
      <c r="E1" s="81"/>
    </row>
    <row r="2" spans="1:5" ht="15" customHeight="1">
      <c r="A2" s="81"/>
      <c r="B2" s="81"/>
      <c r="C2" s="81"/>
      <c r="D2" s="81"/>
      <c r="E2" s="81"/>
    </row>
    <row r="3" spans="1:5" ht="15" customHeight="1">
      <c r="A3" s="81"/>
      <c r="B3" s="81"/>
      <c r="C3" s="81"/>
      <c r="D3" s="81"/>
      <c r="E3" s="81"/>
    </row>
    <row r="4" spans="1:5" ht="15" customHeight="1">
      <c r="A4" s="81"/>
      <c r="B4" s="81"/>
      <c r="C4" s="81"/>
      <c r="D4" s="81"/>
      <c r="E4" s="81"/>
    </row>
    <row r="5" spans="1:5" ht="15" customHeight="1">
      <c r="A5" s="81"/>
      <c r="B5" s="81"/>
      <c r="C5" s="81"/>
      <c r="D5" s="81"/>
      <c r="E5" s="81"/>
    </row>
    <row r="6" spans="1:5" ht="15" customHeight="1">
      <c r="A6" s="81"/>
      <c r="B6" s="81"/>
      <c r="C6" s="81"/>
      <c r="D6" s="81"/>
      <c r="E6" s="81"/>
    </row>
    <row r="7" spans="1:5" ht="15" customHeight="1">
      <c r="A7" s="81"/>
      <c r="B7" s="81"/>
      <c r="C7" s="81"/>
      <c r="D7" s="81"/>
      <c r="E7" s="81"/>
    </row>
    <row r="8" spans="1:5" ht="15" customHeight="1">
      <c r="A8" s="81"/>
      <c r="B8" s="81"/>
      <c r="C8" s="81"/>
      <c r="D8" s="81"/>
      <c r="E8" s="81"/>
    </row>
  </sheetData>
  <sheetProtection formatColumns="0" formatRows="0"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1:B15"/>
  <sheetViews>
    <sheetView workbookViewId="0"/>
  </sheetViews>
  <sheetFormatPr defaultRowHeight="11.25" customHeight="1"/>
  <sheetData>
    <row r="1" spans="1:2" ht="11.25" customHeight="1">
      <c r="A1" t="s">
        <v>3472</v>
      </c>
      <c r="B1" t="b">
        <v>1</v>
      </c>
    </row>
    <row r="2" spans="1:2" ht="11.25" customHeight="1">
      <c r="A2" t="s">
        <v>3473</v>
      </c>
      <c r="B2" t="b">
        <v>0</v>
      </c>
    </row>
    <row r="3" spans="1:2" ht="11.25" customHeight="1">
      <c r="A3" t="s">
        <v>3474</v>
      </c>
      <c r="B3" t="b">
        <v>0</v>
      </c>
    </row>
    <row r="4" spans="1:2" ht="11.25" customHeight="1">
      <c r="A4" t="s">
        <v>3475</v>
      </c>
      <c r="B4" t="b">
        <v>1</v>
      </c>
    </row>
    <row r="5" spans="1:2" ht="11.25" customHeight="1">
      <c r="A5" t="s">
        <v>3476</v>
      </c>
      <c r="B5" t="b">
        <v>0</v>
      </c>
    </row>
    <row r="6" spans="1:2" ht="11.25" customHeight="1">
      <c r="A6" t="s">
        <v>3477</v>
      </c>
      <c r="B6" t="b">
        <v>0</v>
      </c>
    </row>
    <row r="7" spans="1:2" ht="11.25" customHeight="1">
      <c r="A7" t="s">
        <v>3478</v>
      </c>
      <c r="B7" t="b">
        <v>0</v>
      </c>
    </row>
    <row r="8" spans="1:2" ht="11.25" customHeight="1">
      <c r="A8" t="s">
        <v>3479</v>
      </c>
      <c r="B8" t="b">
        <v>0</v>
      </c>
    </row>
    <row r="9" spans="1:2" ht="11.25" customHeight="1">
      <c r="A9" t="s">
        <v>3480</v>
      </c>
      <c r="B9" t="b">
        <v>0</v>
      </c>
    </row>
    <row r="10" spans="1:2" ht="11.25" customHeight="1">
      <c r="A10" t="s">
        <v>3481</v>
      </c>
      <c r="B10" t="b">
        <v>0</v>
      </c>
    </row>
    <row r="11" spans="1:2" ht="11.25" customHeight="1">
      <c r="A11" t="s">
        <v>3482</v>
      </c>
      <c r="B11" t="b">
        <v>1</v>
      </c>
    </row>
    <row r="12" spans="1:2" ht="11.25" customHeight="1">
      <c r="A12" t="s">
        <v>3483</v>
      </c>
      <c r="B12" t="b">
        <v>0</v>
      </c>
    </row>
    <row r="13" spans="1:2" ht="11.25" customHeight="1">
      <c r="A13" t="s">
        <v>3484</v>
      </c>
      <c r="B13" t="b">
        <v>0</v>
      </c>
    </row>
    <row r="14" spans="1:2" ht="11.25" customHeight="1">
      <c r="A14" t="s">
        <v>3485</v>
      </c>
      <c r="B14" t="b">
        <v>0</v>
      </c>
    </row>
    <row r="15" spans="1:2" ht="11.25" customHeight="1">
      <c r="A15" t="s">
        <v>3486</v>
      </c>
      <c r="B15" t="b">
        <v>1</v>
      </c>
    </row>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1"/>
  <sheetViews>
    <sheetView showGridLines="0" workbookViewId="0"/>
  </sheetViews>
  <sheetFormatPr defaultColWidth="9.140625" defaultRowHeight="12.75" customHeight="1"/>
  <cols>
    <col min="1" max="1" width="9.140625" style="1620"/>
  </cols>
  <sheetData>
    <row r="1" spans="1:1" ht="12.75" customHeight="1">
      <c r="A1" s="24"/>
    </row>
  </sheetData>
  <sheetProtection insertRows="0" deleteColumns="0" deleteRows="0" sort="0" autoFilter="0"/>
  <pageMargins left="0.75" right="0.75" top="1" bottom="1" header="0.5" footer="0.5"/>
  <pageSetup orientation="portrait"/>
  <headerFooter>
    <oddHeader>&amp;L&amp;C&amp;R</oddHeader>
    <oddFooter>&amp;L&amp;C&amp;R</oddFooter>
    <evenHeader>&amp;L&amp;C&amp;R</evenHeader>
    <evenFooter>&amp;L&amp;C&amp;R</evenFooter>
  </headerFooter>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1:B253"/>
  <sheetViews>
    <sheetView showGridLines="0" workbookViewId="0"/>
  </sheetViews>
  <sheetFormatPr defaultColWidth="9.140625" defaultRowHeight="11.25" customHeight="1"/>
  <cols>
    <col min="1" max="1" width="36.28515625" style="1807" customWidth="1"/>
    <col min="2" max="2" width="21.140625" style="1807" customWidth="1"/>
  </cols>
  <sheetData>
    <row r="1" spans="1:2" ht="11.25" customHeight="1">
      <c r="A1" s="2" t="s">
        <v>3487</v>
      </c>
      <c r="B1" s="2" t="s">
        <v>3488</v>
      </c>
    </row>
    <row r="2" spans="1:2" ht="11.25" customHeight="1">
      <c r="A2" t="s">
        <v>3489</v>
      </c>
      <c r="B2" t="s">
        <v>3490</v>
      </c>
    </row>
    <row r="3" spans="1:2" ht="11.25" customHeight="1">
      <c r="A3" t="s">
        <v>3491</v>
      </c>
      <c r="B3" t="s">
        <v>3492</v>
      </c>
    </row>
    <row r="4" spans="1:2" ht="11.25" customHeight="1">
      <c r="A4" t="s">
        <v>3493</v>
      </c>
      <c r="B4" t="s">
        <v>3494</v>
      </c>
    </row>
    <row r="5" spans="1:2" ht="11.25" customHeight="1">
      <c r="A5" t="s">
        <v>3495</v>
      </c>
      <c r="B5" t="s">
        <v>3496</v>
      </c>
    </row>
    <row r="6" spans="1:2" ht="11.25" customHeight="1">
      <c r="A6" t="s">
        <v>3497</v>
      </c>
      <c r="B6" t="s">
        <v>3498</v>
      </c>
    </row>
    <row r="7" spans="1:2" ht="11.25" customHeight="1">
      <c r="A7" t="s">
        <v>3499</v>
      </c>
      <c r="B7" t="s">
        <v>3500</v>
      </c>
    </row>
    <row r="8" spans="1:2" ht="11.25" customHeight="1">
      <c r="A8" t="s">
        <v>3501</v>
      </c>
      <c r="B8" t="s">
        <v>3502</v>
      </c>
    </row>
    <row r="9" spans="1:2" ht="11.25" customHeight="1">
      <c r="A9" t="s">
        <v>3503</v>
      </c>
      <c r="B9" t="s">
        <v>3504</v>
      </c>
    </row>
    <row r="10" spans="1:2" ht="11.25" customHeight="1">
      <c r="A10" t="s">
        <v>3505</v>
      </c>
      <c r="B10" t="s">
        <v>3506</v>
      </c>
    </row>
    <row r="11" spans="1:2" ht="11.25" customHeight="1">
      <c r="A11" t="s">
        <v>3507</v>
      </c>
      <c r="B11" t="s">
        <v>3508</v>
      </c>
    </row>
    <row r="12" spans="1:2" ht="11.25" customHeight="1">
      <c r="A12" t="s">
        <v>3509</v>
      </c>
      <c r="B12" t="s">
        <v>3510</v>
      </c>
    </row>
    <row r="13" spans="1:2" ht="11.25" customHeight="1">
      <c r="A13" t="s">
        <v>3511</v>
      </c>
      <c r="B13" t="s">
        <v>3512</v>
      </c>
    </row>
    <row r="14" spans="1:2" ht="11.25" customHeight="1">
      <c r="A14" t="s">
        <v>3513</v>
      </c>
      <c r="B14" t="s">
        <v>3514</v>
      </c>
    </row>
    <row r="15" spans="1:2" ht="11.25" customHeight="1">
      <c r="A15" t="s">
        <v>3515</v>
      </c>
      <c r="B15" t="s">
        <v>3516</v>
      </c>
    </row>
    <row r="16" spans="1:2" ht="11.25" customHeight="1">
      <c r="A16" t="s">
        <v>3517</v>
      </c>
      <c r="B16" t="s">
        <v>3518</v>
      </c>
    </row>
    <row r="17" spans="1:2" ht="11.25" customHeight="1">
      <c r="A17" t="s">
        <v>3519</v>
      </c>
      <c r="B17" t="s">
        <v>3520</v>
      </c>
    </row>
    <row r="18" spans="1:2" ht="11.25" customHeight="1">
      <c r="A18" t="s">
        <v>3521</v>
      </c>
      <c r="B18" t="s">
        <v>3522</v>
      </c>
    </row>
    <row r="19" spans="1:2" ht="11.25" customHeight="1">
      <c r="A19" t="s">
        <v>3523</v>
      </c>
      <c r="B19" t="s">
        <v>3524</v>
      </c>
    </row>
    <row r="20" spans="1:2" ht="11.25" customHeight="1">
      <c r="A20" t="s">
        <v>3525</v>
      </c>
      <c r="B20" t="s">
        <v>3526</v>
      </c>
    </row>
    <row r="21" spans="1:2" ht="11.25" customHeight="1">
      <c r="A21" t="s">
        <v>3527</v>
      </c>
      <c r="B21" t="s">
        <v>3528</v>
      </c>
    </row>
    <row r="22" spans="1:2" ht="11.25" customHeight="1">
      <c r="A22" t="s">
        <v>3529</v>
      </c>
      <c r="B22" t="s">
        <v>3530</v>
      </c>
    </row>
    <row r="23" spans="1:2" ht="11.25" customHeight="1">
      <c r="A23" t="s">
        <v>3531</v>
      </c>
      <c r="B23" t="s">
        <v>3532</v>
      </c>
    </row>
    <row r="24" spans="1:2" ht="11.25" customHeight="1">
      <c r="A24" t="s">
        <v>3533</v>
      </c>
      <c r="B24" t="s">
        <v>3534</v>
      </c>
    </row>
    <row r="25" spans="1:2" ht="11.25" customHeight="1">
      <c r="A25" t="s">
        <v>3535</v>
      </c>
      <c r="B25" t="s">
        <v>3536</v>
      </c>
    </row>
    <row r="26" spans="1:2" ht="11.25" customHeight="1">
      <c r="A26" t="s">
        <v>3537</v>
      </c>
      <c r="B26" t="s">
        <v>3538</v>
      </c>
    </row>
    <row r="27" spans="1:2" ht="11.25" customHeight="1">
      <c r="A27" t="s">
        <v>3539</v>
      </c>
      <c r="B27" t="s">
        <v>3540</v>
      </c>
    </row>
    <row r="28" spans="1:2" ht="11.25" customHeight="1">
      <c r="A28" t="s">
        <v>3541</v>
      </c>
      <c r="B28" t="s">
        <v>3542</v>
      </c>
    </row>
    <row r="29" spans="1:2" ht="11.25" customHeight="1">
      <c r="A29" t="s">
        <v>3543</v>
      </c>
      <c r="B29" t="s">
        <v>3544</v>
      </c>
    </row>
    <row r="30" spans="1:2" ht="11.25" customHeight="1">
      <c r="A30" t="s">
        <v>3545</v>
      </c>
      <c r="B30" t="s">
        <v>3546</v>
      </c>
    </row>
    <row r="31" spans="1:2" ht="11.25" customHeight="1">
      <c r="A31" t="s">
        <v>3547</v>
      </c>
      <c r="B31" t="s">
        <v>3548</v>
      </c>
    </row>
    <row r="32" spans="1:2" ht="11.25" customHeight="1">
      <c r="A32" t="s">
        <v>3549</v>
      </c>
      <c r="B32" t="s">
        <v>3550</v>
      </c>
    </row>
    <row r="33" spans="1:2" ht="11.25" customHeight="1">
      <c r="A33" t="s">
        <v>3551</v>
      </c>
      <c r="B33" t="s">
        <v>3552</v>
      </c>
    </row>
    <row r="34" spans="1:2" ht="11.25" customHeight="1">
      <c r="A34" t="s">
        <v>3553</v>
      </c>
      <c r="B34" t="s">
        <v>3554</v>
      </c>
    </row>
    <row r="35" spans="1:2" ht="11.25" customHeight="1">
      <c r="A35" t="s">
        <v>3555</v>
      </c>
      <c r="B35" t="s">
        <v>3556</v>
      </c>
    </row>
    <row r="36" spans="1:2" ht="11.25" customHeight="1">
      <c r="A36" t="s">
        <v>3557</v>
      </c>
      <c r="B36" t="s">
        <v>3558</v>
      </c>
    </row>
    <row r="37" spans="1:2" ht="11.25" customHeight="1">
      <c r="A37" t="s">
        <v>3559</v>
      </c>
      <c r="B37" t="s">
        <v>3560</v>
      </c>
    </row>
    <row r="38" spans="1:2" ht="11.25" customHeight="1">
      <c r="A38" t="s">
        <v>3561</v>
      </c>
      <c r="B38" t="s">
        <v>3562</v>
      </c>
    </row>
    <row r="39" spans="1:2" ht="11.25" customHeight="1">
      <c r="A39" t="s">
        <v>3563</v>
      </c>
      <c r="B39" t="s">
        <v>3564</v>
      </c>
    </row>
    <row r="40" spans="1:2" ht="11.25" customHeight="1">
      <c r="A40" t="s">
        <v>3565</v>
      </c>
      <c r="B40" t="s">
        <v>3566</v>
      </c>
    </row>
    <row r="41" spans="1:2" ht="11.25" customHeight="1">
      <c r="A41" t="s">
        <v>3567</v>
      </c>
      <c r="B41" t="s">
        <v>3568</v>
      </c>
    </row>
    <row r="42" spans="1:2" ht="11.25" customHeight="1">
      <c r="A42" t="s">
        <v>3569</v>
      </c>
      <c r="B42" t="s">
        <v>3570</v>
      </c>
    </row>
    <row r="43" spans="1:2" ht="11.25" customHeight="1">
      <c r="A43" t="s">
        <v>3571</v>
      </c>
      <c r="B43" t="s">
        <v>3572</v>
      </c>
    </row>
    <row r="44" spans="1:2" ht="11.25" customHeight="1">
      <c r="A44" t="s">
        <v>3573</v>
      </c>
      <c r="B44" t="s">
        <v>3574</v>
      </c>
    </row>
    <row r="45" spans="1:2" ht="11.25" customHeight="1">
      <c r="A45" t="s">
        <v>3575</v>
      </c>
      <c r="B45" t="s">
        <v>3576</v>
      </c>
    </row>
    <row r="46" spans="1:2" ht="11.25" customHeight="1">
      <c r="A46" t="s">
        <v>3577</v>
      </c>
      <c r="B46" t="s">
        <v>3578</v>
      </c>
    </row>
    <row r="47" spans="1:2" ht="11.25" customHeight="1">
      <c r="A47" t="s">
        <v>3579</v>
      </c>
      <c r="B47" t="s">
        <v>3580</v>
      </c>
    </row>
    <row r="48" spans="1:2" ht="11.25" customHeight="1">
      <c r="A48" t="s">
        <v>3581</v>
      </c>
      <c r="B48" t="s">
        <v>3582</v>
      </c>
    </row>
    <row r="49" spans="1:2" ht="11.25" customHeight="1">
      <c r="A49" t="s">
        <v>3583</v>
      </c>
      <c r="B49" t="s">
        <v>3584</v>
      </c>
    </row>
    <row r="50" spans="1:2" ht="11.25" customHeight="1">
      <c r="A50" t="s">
        <v>3585</v>
      </c>
      <c r="B50" t="s">
        <v>3586</v>
      </c>
    </row>
    <row r="51" spans="1:2" ht="11.25" customHeight="1">
      <c r="A51" t="s">
        <v>3587</v>
      </c>
      <c r="B51" t="s">
        <v>3588</v>
      </c>
    </row>
    <row r="52" spans="1:2" ht="11.25" customHeight="1">
      <c r="A52" t="s">
        <v>3589</v>
      </c>
      <c r="B52" t="s">
        <v>3590</v>
      </c>
    </row>
    <row r="53" spans="1:2" ht="11.25" customHeight="1">
      <c r="A53" t="s">
        <v>3591</v>
      </c>
      <c r="B53" t="s">
        <v>3592</v>
      </c>
    </row>
    <row r="54" spans="1:2" ht="11.25" customHeight="1">
      <c r="A54" t="s">
        <v>3593</v>
      </c>
      <c r="B54" t="s">
        <v>3594</v>
      </c>
    </row>
    <row r="55" spans="1:2" ht="11.25" customHeight="1">
      <c r="A55" t="s">
        <v>3595</v>
      </c>
      <c r="B55" t="s">
        <v>3596</v>
      </c>
    </row>
    <row r="56" spans="1:2" ht="11.25" customHeight="1">
      <c r="A56" t="s">
        <v>3597</v>
      </c>
      <c r="B56" t="s">
        <v>3598</v>
      </c>
    </row>
    <row r="57" spans="1:2" ht="11.25" customHeight="1">
      <c r="A57" t="s">
        <v>3599</v>
      </c>
      <c r="B57" t="s">
        <v>3600</v>
      </c>
    </row>
    <row r="58" spans="1:2" ht="11.25" customHeight="1">
      <c r="A58" t="s">
        <v>3601</v>
      </c>
      <c r="B58" t="s">
        <v>3602</v>
      </c>
    </row>
    <row r="59" spans="1:2" ht="11.25" customHeight="1">
      <c r="A59" t="s">
        <v>3603</v>
      </c>
      <c r="B59" t="s">
        <v>3604</v>
      </c>
    </row>
    <row r="60" spans="1:2" ht="11.25" customHeight="1">
      <c r="A60" t="s">
        <v>3605</v>
      </c>
      <c r="B60" t="s">
        <v>3606</v>
      </c>
    </row>
    <row r="61" spans="1:2" ht="11.25" customHeight="1">
      <c r="A61"/>
      <c r="B61" t="s">
        <v>3607</v>
      </c>
    </row>
    <row r="62" spans="1:2" ht="11.25" customHeight="1">
      <c r="A62"/>
      <c r="B62" t="s">
        <v>3608</v>
      </c>
    </row>
    <row r="63" spans="1:2" ht="11.25" customHeight="1">
      <c r="A63"/>
      <c r="B63" t="s">
        <v>3609</v>
      </c>
    </row>
    <row r="64" spans="1:2" ht="11.25" customHeight="1">
      <c r="A64"/>
      <c r="B64" t="s">
        <v>3610</v>
      </c>
    </row>
    <row r="65" spans="1:2" ht="11.25" customHeight="1">
      <c r="A65"/>
      <c r="B65" t="s">
        <v>3611</v>
      </c>
    </row>
    <row r="66" spans="1:2" ht="11.25" customHeight="1">
      <c r="A66"/>
      <c r="B66" t="s">
        <v>3612</v>
      </c>
    </row>
    <row r="67" spans="1:2" ht="11.25" customHeight="1">
      <c r="A67"/>
      <c r="B67" t="s">
        <v>3613</v>
      </c>
    </row>
    <row r="68" spans="1:2" ht="11.25" customHeight="1">
      <c r="A68"/>
      <c r="B68" t="s">
        <v>3614</v>
      </c>
    </row>
    <row r="69" spans="1:2" ht="11.25" customHeight="1">
      <c r="A69"/>
      <c r="B69" t="s">
        <v>3615</v>
      </c>
    </row>
    <row r="70" spans="1:2" ht="11.25" customHeight="1">
      <c r="A70"/>
      <c r="B70" t="s">
        <v>3616</v>
      </c>
    </row>
    <row r="71" spans="1:2" ht="11.25" customHeight="1">
      <c r="A71"/>
      <c r="B71"/>
    </row>
    <row r="72" spans="1:2" ht="11.25" customHeight="1">
      <c r="A72"/>
      <c r="B72"/>
    </row>
    <row r="73" spans="1:2" ht="11.25" customHeight="1">
      <c r="A73"/>
      <c r="B73"/>
    </row>
    <row r="74" spans="1:2" ht="11.25" customHeight="1">
      <c r="A74"/>
      <c r="B74"/>
    </row>
    <row r="75" spans="1:2" ht="11.25" customHeight="1">
      <c r="A75"/>
      <c r="B75"/>
    </row>
    <row r="76" spans="1:2" ht="11.25" customHeight="1">
      <c r="A76"/>
      <c r="B76"/>
    </row>
    <row r="77" spans="1:2" ht="11.25" customHeight="1">
      <c r="A77"/>
      <c r="B77"/>
    </row>
    <row r="78" spans="1:2" ht="11.25" customHeight="1">
      <c r="A78"/>
      <c r="B78"/>
    </row>
    <row r="79" spans="1:2" ht="11.25" customHeight="1">
      <c r="A79"/>
      <c r="B79"/>
    </row>
    <row r="80" spans="1:2" ht="11.25" customHeight="1">
      <c r="A80"/>
      <c r="B80"/>
    </row>
    <row r="81" spans="1:2" ht="11.25" customHeight="1">
      <c r="A81"/>
      <c r="B81"/>
    </row>
    <row r="82" spans="1:2" ht="11.25" customHeight="1">
      <c r="A82"/>
      <c r="B82"/>
    </row>
    <row r="83" spans="1:2" ht="11.25" customHeight="1">
      <c r="A83"/>
      <c r="B83"/>
    </row>
    <row r="84" spans="1:2" ht="11.25" customHeight="1">
      <c r="A84"/>
      <c r="B84"/>
    </row>
    <row r="85" spans="1:2" ht="11.25" customHeight="1">
      <c r="A85"/>
      <c r="B85"/>
    </row>
    <row r="86" spans="1:2" ht="11.25" customHeight="1">
      <c r="A86"/>
      <c r="B86"/>
    </row>
    <row r="87" spans="1:2" ht="11.25" customHeight="1">
      <c r="A87"/>
      <c r="B87"/>
    </row>
    <row r="88" spans="1:2" ht="11.25" customHeight="1">
      <c r="A88"/>
      <c r="B88"/>
    </row>
    <row r="89" spans="1:2" ht="11.25" customHeight="1">
      <c r="A89"/>
      <c r="B89"/>
    </row>
    <row r="90" spans="1:2" ht="11.25" customHeight="1">
      <c r="A90"/>
      <c r="B90"/>
    </row>
    <row r="91" spans="1:2" ht="11.25" customHeight="1">
      <c r="A91"/>
      <c r="B91"/>
    </row>
    <row r="92" spans="1:2" ht="11.25" customHeight="1">
      <c r="A92"/>
      <c r="B92"/>
    </row>
    <row r="93" spans="1:2" ht="11.25" customHeight="1">
      <c r="A93"/>
      <c r="B93"/>
    </row>
    <row r="94" spans="1:2" ht="11.25" customHeight="1">
      <c r="A94"/>
      <c r="B94"/>
    </row>
    <row r="95" spans="1:2" ht="11.25" customHeight="1">
      <c r="A95"/>
      <c r="B95"/>
    </row>
    <row r="96" spans="1:2" ht="11.25" customHeight="1">
      <c r="A96"/>
      <c r="B96"/>
    </row>
    <row r="97" spans="1:2" ht="11.25" customHeight="1">
      <c r="A97"/>
      <c r="B97"/>
    </row>
    <row r="98" spans="1:2" ht="11.25" customHeight="1">
      <c r="A98"/>
      <c r="B98"/>
    </row>
    <row r="99" spans="1:2" ht="11.25" customHeight="1">
      <c r="A99"/>
      <c r="B99"/>
    </row>
    <row r="100" spans="1:2" ht="11.25" customHeight="1">
      <c r="A100"/>
      <c r="B100"/>
    </row>
    <row r="101" spans="1:2" ht="11.25" customHeight="1">
      <c r="A101"/>
      <c r="B101"/>
    </row>
    <row r="102" spans="1:2" ht="11.25" customHeight="1">
      <c r="A102"/>
      <c r="B102"/>
    </row>
    <row r="103" spans="1:2" ht="11.25" customHeight="1">
      <c r="A103"/>
      <c r="B103"/>
    </row>
    <row r="104" spans="1:2" ht="11.25" customHeight="1">
      <c r="A104"/>
      <c r="B104"/>
    </row>
    <row r="105" spans="1:2" ht="11.25" customHeight="1">
      <c r="A105"/>
      <c r="B105"/>
    </row>
    <row r="106" spans="1:2" ht="11.25" customHeight="1">
      <c r="A106"/>
      <c r="B106"/>
    </row>
    <row r="107" spans="1:2" ht="11.25" customHeight="1">
      <c r="A107"/>
      <c r="B107"/>
    </row>
    <row r="108" spans="1:2" ht="11.25" customHeight="1">
      <c r="A108"/>
      <c r="B108"/>
    </row>
    <row r="109" spans="1:2" ht="11.25" customHeight="1">
      <c r="A109"/>
      <c r="B109"/>
    </row>
    <row r="110" spans="1:2" ht="11.25" customHeight="1">
      <c r="A110"/>
      <c r="B110"/>
    </row>
    <row r="111" spans="1:2" ht="11.25" customHeight="1">
      <c r="A111"/>
      <c r="B111"/>
    </row>
    <row r="112" spans="1:2" ht="11.25" customHeight="1">
      <c r="A112"/>
      <c r="B112"/>
    </row>
    <row r="113" spans="1:2" ht="11.25" customHeight="1">
      <c r="A113"/>
      <c r="B113"/>
    </row>
    <row r="114" spans="1:2" ht="11.25" customHeight="1">
      <c r="A114"/>
      <c r="B114"/>
    </row>
    <row r="115" spans="1:2" ht="11.25" customHeight="1">
      <c r="A115"/>
      <c r="B115"/>
    </row>
    <row r="116" spans="1:2" ht="11.25" customHeight="1">
      <c r="A116"/>
      <c r="B116"/>
    </row>
    <row r="117" spans="1:2" ht="11.25" customHeight="1">
      <c r="A117"/>
      <c r="B117"/>
    </row>
    <row r="118" spans="1:2" ht="11.25" customHeight="1">
      <c r="A118"/>
      <c r="B118"/>
    </row>
    <row r="119" spans="1:2" ht="11.25" customHeight="1">
      <c r="A119"/>
      <c r="B119"/>
    </row>
    <row r="120" spans="1:2" ht="11.25" customHeight="1">
      <c r="A120"/>
      <c r="B120"/>
    </row>
    <row r="121" spans="1:2" ht="11.25" customHeight="1">
      <c r="A121"/>
      <c r="B121"/>
    </row>
    <row r="122" spans="1:2" ht="11.25" customHeight="1">
      <c r="A122"/>
      <c r="B122"/>
    </row>
    <row r="123" spans="1:2" ht="11.25" customHeight="1">
      <c r="A123"/>
      <c r="B123"/>
    </row>
    <row r="124" spans="1:2" ht="11.25" customHeight="1">
      <c r="A124"/>
      <c r="B124"/>
    </row>
    <row r="125" spans="1:2" ht="11.25" customHeight="1">
      <c r="A125"/>
      <c r="B125"/>
    </row>
    <row r="126" spans="1:2" ht="11.25" customHeight="1">
      <c r="A126"/>
      <c r="B126"/>
    </row>
    <row r="127" spans="1:2" ht="11.25" customHeight="1">
      <c r="A127"/>
      <c r="B127"/>
    </row>
    <row r="128" spans="1:2" ht="11.25" customHeight="1">
      <c r="A128"/>
      <c r="B128"/>
    </row>
    <row r="129" spans="1:2" ht="11.25" customHeight="1">
      <c r="A129"/>
      <c r="B129"/>
    </row>
    <row r="130" spans="1:2" ht="11.25" customHeight="1">
      <c r="A130"/>
      <c r="B130"/>
    </row>
    <row r="131" spans="1:2" ht="11.25" customHeight="1">
      <c r="A131"/>
      <c r="B131"/>
    </row>
    <row r="132" spans="1:2" ht="11.25" customHeight="1">
      <c r="A132"/>
      <c r="B132"/>
    </row>
    <row r="133" spans="1:2" ht="11.25" customHeight="1">
      <c r="A133"/>
      <c r="B133"/>
    </row>
    <row r="134" spans="1:2" ht="11.25" customHeight="1">
      <c r="A134"/>
      <c r="B134"/>
    </row>
    <row r="135" spans="1:2" ht="11.25" customHeight="1">
      <c r="A135"/>
      <c r="B135"/>
    </row>
    <row r="136" spans="1:2" ht="11.25" customHeight="1">
      <c r="A136"/>
      <c r="B136"/>
    </row>
    <row r="137" spans="1:2" ht="11.25" customHeight="1">
      <c r="A137"/>
      <c r="B137"/>
    </row>
    <row r="138" spans="1:2" ht="11.25" customHeight="1">
      <c r="A138"/>
      <c r="B138"/>
    </row>
    <row r="139" spans="1:2" ht="11.25" customHeight="1">
      <c r="A139"/>
      <c r="B139"/>
    </row>
    <row r="140" spans="1:2" ht="11.25" customHeight="1">
      <c r="A140"/>
      <c r="B140"/>
    </row>
    <row r="141" spans="1:2" ht="11.25" customHeight="1">
      <c r="A141"/>
      <c r="B141"/>
    </row>
    <row r="142" spans="1:2" ht="11.25" customHeight="1">
      <c r="A142"/>
      <c r="B142"/>
    </row>
    <row r="143" spans="1:2" ht="11.25" customHeight="1">
      <c r="A143"/>
      <c r="B143"/>
    </row>
    <row r="144" spans="1:2" ht="11.25" customHeight="1">
      <c r="A144"/>
      <c r="B144"/>
    </row>
    <row r="145" spans="1:2" ht="11.25" customHeight="1">
      <c r="A145"/>
      <c r="B145"/>
    </row>
    <row r="146" spans="1:2" ht="11.25" customHeight="1">
      <c r="A146"/>
      <c r="B146"/>
    </row>
    <row r="147" spans="1:2" ht="11.25" customHeight="1">
      <c r="A147"/>
      <c r="B147"/>
    </row>
    <row r="148" spans="1:2" ht="11.25" customHeight="1">
      <c r="A148"/>
      <c r="B148"/>
    </row>
    <row r="149" spans="1:2" ht="11.25" customHeight="1">
      <c r="A149"/>
      <c r="B149"/>
    </row>
    <row r="150" spans="1:2" ht="11.25" customHeight="1">
      <c r="A150"/>
      <c r="B150"/>
    </row>
    <row r="151" spans="1:2" ht="11.25" customHeight="1">
      <c r="A151"/>
      <c r="B151"/>
    </row>
    <row r="152" spans="1:2" ht="11.25" customHeight="1">
      <c r="A152"/>
      <c r="B152"/>
    </row>
    <row r="153" spans="1:2" ht="11.25" customHeight="1">
      <c r="A153"/>
      <c r="B153"/>
    </row>
    <row r="154" spans="1:2" ht="11.25" customHeight="1">
      <c r="A154"/>
      <c r="B154"/>
    </row>
    <row r="155" spans="1:2" ht="11.25" customHeight="1">
      <c r="A155"/>
      <c r="B155"/>
    </row>
    <row r="156" spans="1:2" ht="11.25" customHeight="1">
      <c r="A156"/>
      <c r="B156"/>
    </row>
    <row r="157" spans="1:2" ht="11.25" customHeight="1">
      <c r="A157"/>
      <c r="B157"/>
    </row>
    <row r="158" spans="1:2" ht="11.25" customHeight="1">
      <c r="A158"/>
      <c r="B158"/>
    </row>
    <row r="159" spans="1:2" ht="11.25" customHeight="1">
      <c r="A159"/>
      <c r="B159"/>
    </row>
    <row r="160" spans="1:2" ht="11.25" customHeight="1">
      <c r="A160"/>
      <c r="B160"/>
    </row>
    <row r="161" spans="1:2" ht="11.25" customHeight="1">
      <c r="A161"/>
      <c r="B161"/>
    </row>
    <row r="162" spans="1:2" ht="11.25" customHeight="1">
      <c r="A162"/>
      <c r="B162"/>
    </row>
    <row r="163" spans="1:2" ht="11.25" customHeight="1">
      <c r="A163"/>
      <c r="B163"/>
    </row>
    <row r="164" spans="1:2" ht="11.25" customHeight="1">
      <c r="A164"/>
      <c r="B164"/>
    </row>
    <row r="165" spans="1:2" ht="11.25" customHeight="1">
      <c r="A165"/>
      <c r="B165"/>
    </row>
    <row r="166" spans="1:2" ht="11.25" customHeight="1">
      <c r="A166"/>
      <c r="B166"/>
    </row>
    <row r="167" spans="1:2" ht="11.25" customHeight="1">
      <c r="A167"/>
      <c r="B167"/>
    </row>
    <row r="168" spans="1:2" ht="11.25" customHeight="1">
      <c r="A168"/>
      <c r="B168"/>
    </row>
    <row r="169" spans="1:2" ht="11.25" customHeight="1">
      <c r="A169"/>
      <c r="B169"/>
    </row>
    <row r="170" spans="1:2" ht="11.25" customHeight="1">
      <c r="A170"/>
      <c r="B170"/>
    </row>
    <row r="171" spans="1:2" ht="11.25" customHeight="1">
      <c r="A171"/>
      <c r="B171"/>
    </row>
    <row r="172" spans="1:2" ht="11.25" customHeight="1">
      <c r="A172"/>
      <c r="B172"/>
    </row>
    <row r="173" spans="1:2" ht="11.25" customHeight="1">
      <c r="A173"/>
      <c r="B173"/>
    </row>
    <row r="174" spans="1:2" ht="11.25" customHeight="1">
      <c r="A174"/>
      <c r="B174"/>
    </row>
    <row r="175" spans="1:2" ht="11.25" customHeight="1">
      <c r="A175"/>
      <c r="B175"/>
    </row>
    <row r="176" spans="1:2" ht="11.25" customHeight="1">
      <c r="A176"/>
      <c r="B176"/>
    </row>
    <row r="177" spans="1:2" ht="11.25" customHeight="1">
      <c r="A177"/>
      <c r="B177"/>
    </row>
    <row r="178" spans="1:2" ht="11.25" customHeight="1">
      <c r="A178"/>
      <c r="B178"/>
    </row>
    <row r="179" spans="1:2" ht="11.25" customHeight="1">
      <c r="A179"/>
      <c r="B179"/>
    </row>
    <row r="180" spans="1:2" ht="11.25" customHeight="1">
      <c r="A180"/>
      <c r="B180"/>
    </row>
    <row r="181" spans="1:2" ht="11.25" customHeight="1">
      <c r="A181"/>
      <c r="B181"/>
    </row>
    <row r="182" spans="1:2" ht="11.25" customHeight="1">
      <c r="A182"/>
      <c r="B182"/>
    </row>
    <row r="183" spans="1:2" ht="11.25" customHeight="1">
      <c r="A183"/>
      <c r="B183"/>
    </row>
    <row r="184" spans="1:2" ht="11.25" customHeight="1">
      <c r="A184"/>
      <c r="B184"/>
    </row>
    <row r="185" spans="1:2" ht="11.25" customHeight="1">
      <c r="A185"/>
      <c r="B185"/>
    </row>
    <row r="186" spans="1:2" ht="11.25" customHeight="1">
      <c r="A186"/>
      <c r="B186"/>
    </row>
    <row r="187" spans="1:2" ht="11.25" customHeight="1">
      <c r="A187"/>
      <c r="B187"/>
    </row>
    <row r="188" spans="1:2" ht="11.25" customHeight="1">
      <c r="A188"/>
      <c r="B188"/>
    </row>
    <row r="189" spans="1:2" ht="11.25" customHeight="1">
      <c r="A189"/>
      <c r="B189"/>
    </row>
    <row r="190" spans="1:2" ht="11.25" customHeight="1">
      <c r="A190"/>
      <c r="B190"/>
    </row>
    <row r="191" spans="1:2" ht="11.25" customHeight="1">
      <c r="A191"/>
      <c r="B191"/>
    </row>
    <row r="192" spans="1:2" ht="11.25" customHeight="1">
      <c r="A192"/>
      <c r="B192"/>
    </row>
    <row r="193" spans="1:2" ht="11.25" customHeight="1">
      <c r="A193"/>
      <c r="B193"/>
    </row>
    <row r="194" spans="1:2" ht="11.25" customHeight="1">
      <c r="A194"/>
      <c r="B194"/>
    </row>
    <row r="195" spans="1:2" ht="11.25" customHeight="1">
      <c r="A195"/>
      <c r="B195"/>
    </row>
    <row r="196" spans="1:2" ht="11.25" customHeight="1">
      <c r="A196"/>
      <c r="B196"/>
    </row>
    <row r="197" spans="1:2" ht="11.25" customHeight="1">
      <c r="A197"/>
      <c r="B197"/>
    </row>
    <row r="198" spans="1:2" ht="11.25" customHeight="1">
      <c r="A198"/>
      <c r="B198"/>
    </row>
    <row r="199" spans="1:2" ht="11.25" customHeight="1">
      <c r="A199"/>
      <c r="B199"/>
    </row>
    <row r="200" spans="1:2" ht="11.25" customHeight="1">
      <c r="A200"/>
      <c r="B200"/>
    </row>
    <row r="201" spans="1:2" ht="11.25" customHeight="1">
      <c r="A201"/>
      <c r="B201"/>
    </row>
    <row r="202" spans="1:2" ht="11.25" customHeight="1">
      <c r="A202"/>
      <c r="B202"/>
    </row>
    <row r="203" spans="1:2" ht="11.25" customHeight="1">
      <c r="A203"/>
      <c r="B203"/>
    </row>
    <row r="204" spans="1:2" ht="11.25" customHeight="1">
      <c r="A204"/>
      <c r="B204"/>
    </row>
    <row r="205" spans="1:2" ht="11.25" customHeight="1">
      <c r="A205"/>
      <c r="B205"/>
    </row>
    <row r="206" spans="1:2" ht="11.25" customHeight="1">
      <c r="A206"/>
      <c r="B206"/>
    </row>
    <row r="207" spans="1:2" ht="11.25" customHeight="1">
      <c r="A207"/>
      <c r="B207"/>
    </row>
    <row r="208" spans="1:2" ht="11.25" customHeight="1">
      <c r="A208"/>
      <c r="B208"/>
    </row>
    <row r="209" spans="1:2" ht="11.25" customHeight="1">
      <c r="A209"/>
      <c r="B209"/>
    </row>
    <row r="210" spans="1:2" ht="11.25" customHeight="1">
      <c r="A210"/>
      <c r="B210"/>
    </row>
    <row r="211" spans="1:2" ht="11.25" customHeight="1">
      <c r="A211"/>
      <c r="B211"/>
    </row>
    <row r="212" spans="1:2" ht="11.25" customHeight="1">
      <c r="A212"/>
      <c r="B212"/>
    </row>
    <row r="213" spans="1:2" ht="11.25" customHeight="1">
      <c r="A213"/>
      <c r="B213"/>
    </row>
    <row r="214" spans="1:2" ht="11.25" customHeight="1">
      <c r="A214"/>
      <c r="B214"/>
    </row>
    <row r="215" spans="1:2" ht="11.25" customHeight="1">
      <c r="A215"/>
      <c r="B215"/>
    </row>
    <row r="216" spans="1:2" ht="11.25" customHeight="1">
      <c r="A216"/>
      <c r="B216"/>
    </row>
    <row r="217" spans="1:2" ht="11.25" customHeight="1">
      <c r="A217"/>
      <c r="B217"/>
    </row>
    <row r="218" spans="1:2" ht="11.25" customHeight="1">
      <c r="A218"/>
      <c r="B218"/>
    </row>
    <row r="219" spans="1:2" ht="11.25" customHeight="1">
      <c r="A219"/>
      <c r="B219"/>
    </row>
    <row r="220" spans="1:2" ht="11.25" customHeight="1">
      <c r="A220"/>
      <c r="B220"/>
    </row>
    <row r="221" spans="1:2" ht="11.25" customHeight="1">
      <c r="A221"/>
      <c r="B221"/>
    </row>
    <row r="222" spans="1:2" ht="11.25" customHeight="1">
      <c r="A222"/>
      <c r="B222"/>
    </row>
    <row r="223" spans="1:2" ht="11.25" customHeight="1">
      <c r="A223"/>
      <c r="B223"/>
    </row>
    <row r="224" spans="1:2" ht="11.25" customHeight="1">
      <c r="A224"/>
      <c r="B224"/>
    </row>
    <row r="225" spans="1:2" ht="11.25" customHeight="1">
      <c r="A225"/>
      <c r="B225"/>
    </row>
    <row r="226" spans="1:2" ht="11.25" customHeight="1">
      <c r="A226"/>
      <c r="B226"/>
    </row>
    <row r="227" spans="1:2" ht="11.25" customHeight="1">
      <c r="A227"/>
      <c r="B227"/>
    </row>
    <row r="228" spans="1:2" ht="11.25" customHeight="1">
      <c r="A228"/>
      <c r="B228"/>
    </row>
    <row r="229" spans="1:2" ht="11.25" customHeight="1">
      <c r="A229"/>
      <c r="B229"/>
    </row>
    <row r="230" spans="1:2" ht="11.25" customHeight="1">
      <c r="A230"/>
      <c r="B230"/>
    </row>
    <row r="231" spans="1:2" ht="11.25" customHeight="1">
      <c r="A231"/>
      <c r="B231"/>
    </row>
    <row r="232" spans="1:2" ht="11.25" customHeight="1">
      <c r="A232"/>
      <c r="B232"/>
    </row>
    <row r="233" spans="1:2" ht="11.25" customHeight="1">
      <c r="A233"/>
      <c r="B233"/>
    </row>
    <row r="234" spans="1:2" ht="11.25" customHeight="1">
      <c r="A234"/>
      <c r="B234"/>
    </row>
    <row r="235" spans="1:2" ht="11.25" customHeight="1">
      <c r="A235"/>
      <c r="B235"/>
    </row>
    <row r="236" spans="1:2" ht="11.25" customHeight="1">
      <c r="A236"/>
      <c r="B236"/>
    </row>
    <row r="237" spans="1:2" ht="11.25" customHeight="1">
      <c r="A237"/>
      <c r="B237"/>
    </row>
    <row r="238" spans="1:2" ht="11.25" customHeight="1">
      <c r="A238"/>
      <c r="B238"/>
    </row>
    <row r="239" spans="1:2" ht="11.25" customHeight="1">
      <c r="A239"/>
      <c r="B239"/>
    </row>
    <row r="240" spans="1:2" ht="11.25" customHeight="1">
      <c r="A240"/>
      <c r="B240"/>
    </row>
    <row r="241" spans="1:2" ht="11.25" customHeight="1">
      <c r="A241"/>
      <c r="B241"/>
    </row>
    <row r="242" spans="1:2" ht="11.25" customHeight="1">
      <c r="A242"/>
      <c r="B242"/>
    </row>
    <row r="243" spans="1:2" ht="11.25" customHeight="1">
      <c r="A243"/>
      <c r="B243"/>
    </row>
    <row r="244" spans="1:2" ht="11.25" customHeight="1">
      <c r="A244"/>
      <c r="B244"/>
    </row>
    <row r="245" spans="1:2" ht="11.25" customHeight="1">
      <c r="A245"/>
      <c r="B245"/>
    </row>
    <row r="246" spans="1:2" ht="11.25" customHeight="1">
      <c r="A246"/>
      <c r="B246"/>
    </row>
    <row r="247" spans="1:2" ht="11.25" customHeight="1">
      <c r="A247"/>
      <c r="B247"/>
    </row>
    <row r="248" spans="1:2" ht="11.25" customHeight="1">
      <c r="A248"/>
      <c r="B248"/>
    </row>
    <row r="249" spans="1:2" ht="11.25" customHeight="1">
      <c r="A249"/>
      <c r="B249"/>
    </row>
    <row r="250" spans="1:2" ht="11.25" customHeight="1">
      <c r="A250"/>
      <c r="B250"/>
    </row>
    <row r="251" spans="1:2" ht="11.25" customHeight="1">
      <c r="A251"/>
      <c r="B251"/>
    </row>
    <row r="252" spans="1:2" ht="11.25" customHeight="1">
      <c r="A252"/>
      <c r="B252"/>
    </row>
    <row r="253" spans="1:2" ht="11.25" customHeight="1">
      <c r="A253"/>
      <c r="B253"/>
    </row>
  </sheetData>
  <sheetProtection formatColumns="0" formatRows="0" insertRows="0" deleteColumns="0" deleteRows="0" sort="0" autoFilter="0"/>
  <pageMargins left="0.75" right="0.75" top="1" bottom="1" header="0.5" footer="0.5"/>
  <pageSetup paperSize="9" orientation="portrait"/>
  <headerFooter>
    <oddHeader>&amp;L&amp;C&amp;R</oddHeader>
    <oddFooter>&amp;L&amp;C&amp;R</oddFooter>
    <evenHeader>&amp;L&amp;C&amp;R</evenHeader>
    <evenFooter>&amp;L&amp;C&amp;R</evenFooter>
  </headerFooter>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1:D36"/>
  <sheetViews>
    <sheetView showGridLines="0" workbookViewId="0"/>
  </sheetViews>
  <sheetFormatPr defaultColWidth="9.140625" defaultRowHeight="11.25" customHeight="1"/>
  <cols>
    <col min="1" max="1" width="3.7109375" style="1807" customWidth="1"/>
    <col min="2" max="2" width="90.7109375" style="1807" customWidth="1"/>
    <col min="3" max="4" width="9.140625" style="1807"/>
  </cols>
  <sheetData>
    <row r="1" spans="2:4" ht="11.25" customHeight="1">
      <c r="B1" s="22" t="s">
        <v>3617</v>
      </c>
    </row>
    <row r="2" spans="2:4" ht="90" customHeight="1">
      <c r="B2" s="23" t="s">
        <v>3618</v>
      </c>
    </row>
    <row r="3" spans="2:4" ht="67.5" customHeight="1">
      <c r="B3" s="23" t="s">
        <v>3619</v>
      </c>
    </row>
    <row r="4" spans="2:4" ht="33.75" customHeight="1">
      <c r="B4" s="23" t="s">
        <v>3620</v>
      </c>
    </row>
    <row r="5" spans="2:4" ht="11.25" customHeight="1">
      <c r="B5" s="23" t="s">
        <v>3621</v>
      </c>
    </row>
    <row r="6" spans="2:4" ht="22.5" customHeight="1">
      <c r="B6" s="23" t="s">
        <v>3622</v>
      </c>
    </row>
    <row r="7" spans="2:4" ht="22.5" customHeight="1">
      <c r="B7" s="23" t="s">
        <v>3623</v>
      </c>
    </row>
    <row r="8" spans="2:4" ht="22.5" customHeight="1">
      <c r="B8" s="23" t="s">
        <v>3624</v>
      </c>
    </row>
    <row r="9" spans="2:4" ht="22.5" customHeight="1">
      <c r="B9" s="23" t="s">
        <v>3625</v>
      </c>
    </row>
    <row r="10" spans="2:4" ht="56.25" customHeight="1">
      <c r="B10" s="23" t="s">
        <v>3626</v>
      </c>
    </row>
    <row r="11" spans="2:4" ht="12.75" customHeight="1">
      <c r="B11" s="77" t="s">
        <v>3627</v>
      </c>
    </row>
    <row r="12" spans="2:4" ht="11.25" customHeight="1">
      <c r="B12" s="22" t="s">
        <v>3628</v>
      </c>
    </row>
    <row r="13" spans="2:4" ht="22.5" customHeight="1">
      <c r="B13" s="23" t="s">
        <v>3629</v>
      </c>
    </row>
    <row r="14" spans="2:4" ht="67.5" customHeight="1">
      <c r="B14" s="23" t="s">
        <v>3630</v>
      </c>
    </row>
    <row r="15" spans="2:4" ht="22.5" customHeight="1">
      <c r="B15" s="23" t="s">
        <v>3631</v>
      </c>
    </row>
    <row r="16" spans="2:4" ht="11.25" customHeight="1">
      <c r="B16" s="22" t="s">
        <v>3632</v>
      </c>
      <c r="D16" s="29"/>
    </row>
    <row r="17" spans="1:2" ht="33.75" customHeight="1">
      <c r="B17" s="23" t="s">
        <v>3633</v>
      </c>
    </row>
    <row r="18" spans="1:2" ht="33.75" customHeight="1">
      <c r="B18" s="23" t="s">
        <v>3634</v>
      </c>
    </row>
    <row r="19" spans="1:2" ht="11.25" customHeight="1">
      <c r="B19" s="23" t="s">
        <v>3635</v>
      </c>
    </row>
    <row r="20" spans="1:2" ht="33.75" customHeight="1">
      <c r="B20" s="23" t="s">
        <v>3636</v>
      </c>
    </row>
    <row r="21" spans="1:2" ht="11.25" customHeight="1">
      <c r="B21" s="22" t="s">
        <v>3637</v>
      </c>
    </row>
    <row r="22" spans="1:2" ht="11.25" customHeight="1">
      <c r="B22" s="23" t="s">
        <v>3638</v>
      </c>
    </row>
    <row r="24" spans="1:2" ht="22.5" customHeight="1">
      <c r="B24" s="79" t="s">
        <v>3639</v>
      </c>
    </row>
    <row r="26" spans="1:2" ht="11.25" customHeight="1">
      <c r="B26" s="22" t="s">
        <v>3640</v>
      </c>
    </row>
    <row r="27" spans="1:2" ht="22.5" customHeight="1">
      <c r="B27" s="78" t="s">
        <v>459</v>
      </c>
    </row>
    <row r="28" spans="1:2" ht="56.25" customHeight="1">
      <c r="B28" s="78" t="s">
        <v>3641</v>
      </c>
    </row>
    <row r="29" spans="1:2" ht="11.25" customHeight="1">
      <c r="B29" s="127" t="s">
        <v>3642</v>
      </c>
    </row>
    <row r="30" spans="1:2" ht="22.5" customHeight="1">
      <c r="B30" s="78" t="s">
        <v>3643</v>
      </c>
    </row>
    <row r="32" spans="1:2" ht="11.25" customHeight="1">
      <c r="A32"/>
      <c r="B32" s="106" t="s">
        <v>3644</v>
      </c>
    </row>
    <row r="33" spans="1:2" ht="14.25" customHeight="1">
      <c r="A33" s="107">
        <v>1</v>
      </c>
      <c r="B33" s="108" t="s">
        <v>3645</v>
      </c>
    </row>
    <row r="34" spans="1:2" ht="14.25" customHeight="1">
      <c r="A34" s="107">
        <v>2</v>
      </c>
      <c r="B34" s="108" t="s">
        <v>3646</v>
      </c>
    </row>
    <row r="35" spans="1:2" ht="11.25" customHeight="1">
      <c r="B35" s="106" t="s">
        <v>3647</v>
      </c>
    </row>
    <row r="36" spans="1:2" ht="11.25" customHeight="1">
      <c r="B36" s="108" t="s">
        <v>3648</v>
      </c>
    </row>
  </sheetData>
  <sheetProtection insertRows="0" deleteColumns="0" deleteRows="0" sort="0" autoFilter="0"/>
  <pageMargins left="0.75" right="0.75" top="1" bottom="1" header="0.5" footer="0.5"/>
  <pageSetup paperSize="9" orientation="portrait"/>
  <headerFooter>
    <oddHeader>&amp;L&amp;C&amp;R</oddHeader>
    <oddFooter>&amp;L&amp;C&amp;R</oddFooter>
    <evenHeader>&amp;L&amp;C&amp;R</evenHeader>
    <evenFooter>&amp;L&amp;C&amp;R</even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86</vt:i4>
      </vt:variant>
      <vt:variant>
        <vt:lpstr>Именованные диапазоны</vt:lpstr>
      </vt:variant>
      <vt:variant>
        <vt:i4>1816</vt:i4>
      </vt:variant>
    </vt:vector>
  </HeadingPairs>
  <TitlesOfParts>
    <vt:vector size="1902" baseType="lpstr">
      <vt:lpstr>Инструкция</vt:lpstr>
      <vt:lpstr>Титульный</vt:lpstr>
      <vt:lpstr>Список территорий</vt:lpstr>
      <vt:lpstr>Дифференциация</vt:lpstr>
      <vt:lpstr>Перечень тарифов</vt:lpstr>
      <vt:lpstr>Дифференциация тариф показатель</vt:lpstr>
      <vt:lpstr>Общая информация об организации</vt:lpstr>
      <vt:lpstr>Общая информация по ВД</vt:lpstr>
      <vt:lpstr>Виды объектов</vt:lpstr>
      <vt:lpstr>Сведения по территориям</vt:lpstr>
      <vt:lpstr>et_union_hor</vt:lpstr>
      <vt:lpstr>Договоры</vt:lpstr>
      <vt:lpstr>ТС. Т-ТЭ | &gt;=25МВт</vt:lpstr>
      <vt:lpstr>ТС. Т-ТЭ | ТСО</vt:lpstr>
      <vt:lpstr>ТС. Резерв мощности</vt:lpstr>
      <vt:lpstr>ТС. Т-ТН</vt:lpstr>
      <vt:lpstr>ТС. Т-передача ТЭ</vt:lpstr>
      <vt:lpstr>ТС. Т-передача ТН</vt:lpstr>
      <vt:lpstr>ТС. Т-гор.вода</vt:lpstr>
      <vt:lpstr>ТС. Т-подкл</vt:lpstr>
      <vt:lpstr>TEHSHEET</vt:lpstr>
      <vt:lpstr>DATA_FORMS</vt:lpstr>
      <vt:lpstr>DATA_NPA</vt:lpstr>
      <vt:lpstr>Т-ТЭ | потр</vt:lpstr>
      <vt:lpstr>Т-ТЭ | предел</vt:lpstr>
      <vt:lpstr>Т-ТЭ | индикат</vt:lpstr>
      <vt:lpstr>Т-подкл(инд)</vt:lpstr>
      <vt:lpstr>Порядок ТП</vt:lpstr>
      <vt:lpstr>Сведения о закупках</vt:lpstr>
      <vt:lpstr>modMainProcedures</vt:lpstr>
      <vt:lpstr>Потребительские характеристики</vt:lpstr>
      <vt:lpstr>ТП</vt:lpstr>
      <vt:lpstr>Ограничения</vt:lpstr>
      <vt:lpstr>Предложение</vt:lpstr>
      <vt:lpstr>ХВС. Т-пит</vt:lpstr>
      <vt:lpstr>ХВС. Т-тех</vt:lpstr>
      <vt:lpstr>ХВС. Т-транс</vt:lpstr>
      <vt:lpstr>ХВС. Т-подвоз</vt:lpstr>
      <vt:lpstr>ХВС. Т-подкл</vt:lpstr>
      <vt:lpstr>Показатели ФХД</vt:lpstr>
      <vt:lpstr>Показатели ФХД &gt;20%</vt:lpstr>
      <vt:lpstr>ТКО. Показатели ФХД</vt:lpstr>
      <vt:lpstr>ТКО. Транс. Показатели ФХД</vt:lpstr>
      <vt:lpstr>Показатели КНЭ</vt:lpstr>
      <vt:lpstr>ИП</vt:lpstr>
      <vt:lpstr>ИП. Детализация</vt:lpstr>
      <vt:lpstr>ИП. Финансовый план</vt:lpstr>
      <vt:lpstr>ИП. КНЭ</vt:lpstr>
      <vt:lpstr>ГВС. Т-гор.вода</vt:lpstr>
      <vt:lpstr>ГВС. Т-транс</vt:lpstr>
      <vt:lpstr>ГВС. Т-подкл</vt:lpstr>
      <vt:lpstr>ВО. Т-во</vt:lpstr>
      <vt:lpstr>ВО. Т-транс</vt:lpstr>
      <vt:lpstr>ВО. Т-подкл</vt:lpstr>
      <vt:lpstr>modB_FHD</vt:lpstr>
      <vt:lpstr>modB_FHD20</vt:lpstr>
      <vt:lpstr>modB_KNE</vt:lpstr>
      <vt:lpstr>modIP_MAIN</vt:lpstr>
      <vt:lpstr>modIP_QRE</vt:lpstr>
      <vt:lpstr>modIP_DETAILED</vt:lpstr>
      <vt:lpstr>ЭД</vt:lpstr>
      <vt:lpstr>Сведения об изменении</vt:lpstr>
      <vt:lpstr>Орган регулирования</vt:lpstr>
      <vt:lpstr>Перечень организаций</vt:lpstr>
      <vt:lpstr>Дела об установлении тарифов</vt:lpstr>
      <vt:lpstr>Привлечение к ответственности</vt:lpstr>
      <vt:lpstr>Комментарии</vt:lpstr>
      <vt:lpstr>Проверка</vt:lpstr>
      <vt:lpstr>et_union_vert</vt:lpstr>
      <vt:lpstr>Легенда</vt:lpstr>
      <vt:lpstr>modfrmListIP</vt:lpstr>
      <vt:lpstr>modfrmActivity</vt:lpstr>
      <vt:lpstr>REESTR_ORG</vt:lpstr>
      <vt:lpstr>REESTR_MO</vt:lpstr>
      <vt:lpstr>REESTR_IP</vt:lpstr>
      <vt:lpstr>REESTR_OBJ_INFR</vt:lpstr>
      <vt:lpstr>REESTR_DS</vt:lpstr>
      <vt:lpstr>REESTR_VT</vt:lpstr>
      <vt:lpstr>REESTR_VED</vt:lpstr>
      <vt:lpstr>REESTR_MO_FILTER</vt:lpstr>
      <vt:lpstr>REESTR_LINK</vt:lpstr>
      <vt:lpstr>modSheetMain</vt:lpstr>
      <vt:lpstr>modfrmReportMode</vt:lpstr>
      <vt:lpstr>modfrmReestrObj</vt:lpstr>
      <vt:lpstr>AllSheetsInThisWorkbook</vt:lpstr>
      <vt:lpstr>modInfo</vt:lpstr>
      <vt:lpstr>Проверка!_ФильтрБазыДанных</vt:lpstr>
      <vt:lpstr>B_FHD_CHECK_INDEX_1</vt:lpstr>
      <vt:lpstr>B_FHD_CHECK_INDEX_2</vt:lpstr>
      <vt:lpstr>B_FHD_COSTS_INDEX_1</vt:lpstr>
      <vt:lpstr>B_FHD_COSTS_INDEX_2</vt:lpstr>
      <vt:lpstr>B_FHD_DATA_TOP80_ACTIVITY</vt:lpstr>
      <vt:lpstr>B_FHD_diff_1</vt:lpstr>
      <vt:lpstr>B_FHD_diff_66</vt:lpstr>
      <vt:lpstr>B_FHD_FLAG_DIFFERENTIATION</vt:lpstr>
      <vt:lpstr>B_FHD_FLAG_INDEX_1</vt:lpstr>
      <vt:lpstr>B_FHD_FLAG_INDEX_2</vt:lpstr>
      <vt:lpstr>B_FHD_TKO_DATA_TOP80_ACTIVITY</vt:lpstr>
      <vt:lpstr>B_FHD_TKO_diff_1</vt:lpstr>
      <vt:lpstr>B_FHD_TKO_diff_66</vt:lpstr>
      <vt:lpstr>B_FHD_TKO_FLAG_DIFFERENTIATION</vt:lpstr>
      <vt:lpstr>B_FHD_TKO_TRANS_DATA_TOP80_ACTIVITY</vt:lpstr>
      <vt:lpstr>B_FHD_TKO_TRANS_diff_1</vt:lpstr>
      <vt:lpstr>B_FHD_TKO_TRANS_diff_66</vt:lpstr>
      <vt:lpstr>B_FHD_TKO_TRANS_FLAG_DIFFERENTIATION</vt:lpstr>
      <vt:lpstr>B_FHD20_ADD_HL_2_COLUMN_MARKER</vt:lpstr>
      <vt:lpstr>B_FHD20_ADD_HL_3_COLUMN_MARKER</vt:lpstr>
      <vt:lpstr>B_FHD20_ADD_HL_4_COLUMN_MARKER</vt:lpstr>
      <vt:lpstr>B_FHD20_ALL_DATA</vt:lpstr>
      <vt:lpstr>B_FHD20_COSTS_OPS_diff_1</vt:lpstr>
      <vt:lpstr>B_FHD20_COSTS_PH_diff_1</vt:lpstr>
      <vt:lpstr>B_FHD20_DEL_HL_2_COLUMN_MARKER</vt:lpstr>
      <vt:lpstr>B_FHD20_DEL_HL_3_COLUMN_MARKER</vt:lpstr>
      <vt:lpstr>B_FHD20_DEL_HL_4_COLUMN_MARKER</vt:lpstr>
      <vt:lpstr>B_FHD20_diff_1</vt:lpstr>
      <vt:lpstr>B_FHD20_diff_66</vt:lpstr>
      <vt:lpstr>B_FHD20_FLAG_FHD</vt:lpstr>
      <vt:lpstr>B_FHD20_NUMBER_COLUMN_MARKER</vt:lpstr>
      <vt:lpstr>B_FHD20_PART_COLUMN_MARKER</vt:lpstr>
      <vt:lpstr>B_KNE_diff_1</vt:lpstr>
      <vt:lpstr>B_KNE_diff_66</vt:lpstr>
      <vt:lpstr>BLOCK_BALANCE_INDICATORS</vt:lpstr>
      <vt:lpstr>BLOCK_BALANCE_TKO_FLAG_TRANS</vt:lpstr>
      <vt:lpstr>BLOCK_CONNECTION_STATE</vt:lpstr>
      <vt:lpstr>BLOCK_DIFF_CS</vt:lpstr>
      <vt:lpstr>BLOCK_DIFFERENTIATION_NOT_TKO</vt:lpstr>
      <vt:lpstr>BLOCK_FIRST_TARIFF</vt:lpstr>
      <vt:lpstr>BLOCK_FIRST_TARIFF_OREG_PUBL</vt:lpstr>
      <vt:lpstr>BLOCK_MAIN_INFO_HEAT</vt:lpstr>
      <vt:lpstr>BLOCK_MAIN_INFO_NOT_TKO</vt:lpstr>
      <vt:lpstr>BLOCK_MAIN_INFO_OBJECT_COLDVSNA</vt:lpstr>
      <vt:lpstr>BLOCK_MAIN_INFO_OBJECT_COMM_COLDVSNA</vt:lpstr>
      <vt:lpstr>BLOCK_MAIN_INFO_OBJECT_COMM_HEAT</vt:lpstr>
      <vt:lpstr>BLOCK_MAIN_INFO_OBJECT_COMM_HOTVSNA</vt:lpstr>
      <vt:lpstr>BLOCK_MAIN_INFO_OBJECT_COMM_VOTV</vt:lpstr>
      <vt:lpstr>BLOCK_MAIN_INFO_OBJECT_HEAT</vt:lpstr>
      <vt:lpstr>BLOCK_MAIN_INFO_OBJECT_HOTVSNA</vt:lpstr>
      <vt:lpstr>BLOCK_MAIN_INFO_OBJECT_VOTV</vt:lpstr>
      <vt:lpstr>BLOCK_NOTE_P_TARIFF_A</vt:lpstr>
      <vt:lpstr>BLOCK_NOTE_P_TARIFF_A_COLDVSNA</vt:lpstr>
      <vt:lpstr>BLOCK_NOTE_P_TARIFF_A_HOTVSNA</vt:lpstr>
      <vt:lpstr>BLOCK_NOTE_P_TARIFF_A_VOTV</vt:lpstr>
      <vt:lpstr>BLOCK_NOTE_P_TARIFF_B</vt:lpstr>
      <vt:lpstr>BLOCK_NOTE_P_TARIFF_B_COLDVSNA</vt:lpstr>
      <vt:lpstr>BLOCK_NOTE_P_TARIFF_B_HOTVSNA</vt:lpstr>
      <vt:lpstr>BLOCK_NOTE_P_TARIFF_B_VOTV</vt:lpstr>
      <vt:lpstr>BLOCK_NOTE_P_TARIFF_C</vt:lpstr>
      <vt:lpstr>BLOCK_NOTE_P_TARIFF_C_COLDVSNA</vt:lpstr>
      <vt:lpstr>BLOCK_NOTE_P_TARIFF_C_HOTVSNA</vt:lpstr>
      <vt:lpstr>BLOCK_NOTE_P_TARIFF_C_VOTV</vt:lpstr>
      <vt:lpstr>BLOCK_NOTE_P_TARIFF_D</vt:lpstr>
      <vt:lpstr>BLOCK_NOTE_P_TARIFF_D_COLDVSNA</vt:lpstr>
      <vt:lpstr>BLOCK_NOTE_P_TARIFF_E_COLDVSNA</vt:lpstr>
      <vt:lpstr>BLOCK_NOTE_P_TARIFF_E1</vt:lpstr>
      <vt:lpstr>BLOCK_NOTE_P_TARIFF_E2</vt:lpstr>
      <vt:lpstr>BLOCK_NOTE_P_TARIFF_F</vt:lpstr>
      <vt:lpstr>BLOCK_NOTE_P_TARIFF_G</vt:lpstr>
      <vt:lpstr>BLOCK_NOTE_R_TARIFF_A</vt:lpstr>
      <vt:lpstr>BLOCK_NOTE_R_TARIFF_A_COLDVSNA</vt:lpstr>
      <vt:lpstr>BLOCK_NOTE_R_TARIFF_A_HOTVSNA</vt:lpstr>
      <vt:lpstr>BLOCK_NOTE_R_TARIFF_A_VOTV</vt:lpstr>
      <vt:lpstr>BLOCK_NOTE_R_TARIFF_B</vt:lpstr>
      <vt:lpstr>BLOCK_NOTE_R_TARIFF_B_COLDVSNA</vt:lpstr>
      <vt:lpstr>BLOCK_NOTE_R_TARIFF_B_HOTVSNA</vt:lpstr>
      <vt:lpstr>BLOCK_NOTE_R_TARIFF_B_VOTV</vt:lpstr>
      <vt:lpstr>BLOCK_NOTE_R_TARIFF_C</vt:lpstr>
      <vt:lpstr>BLOCK_NOTE_R_TARIFF_C_COLDVSNA</vt:lpstr>
      <vt:lpstr>BLOCK_NOTE_R_TARIFF_C_HOTVSNA</vt:lpstr>
      <vt:lpstr>BLOCK_NOTE_R_TARIFF_C_VOTV</vt:lpstr>
      <vt:lpstr>BLOCK_NOTE_R_TARIFF_D</vt:lpstr>
      <vt:lpstr>BLOCK_NOTE_R_TARIFF_D_COLDVSNA</vt:lpstr>
      <vt:lpstr>BLOCK_NOTE_R_TARIFF_E_COLDVSNA</vt:lpstr>
      <vt:lpstr>BLOCK_NOTE_R_TARIFF_E1</vt:lpstr>
      <vt:lpstr>BLOCK_NOTE_R_TARIFF_E2</vt:lpstr>
      <vt:lpstr>BLOCK_NOTE_R_TARIFF_F</vt:lpstr>
      <vt:lpstr>BLOCK_NOTE_R_TARIFF_G</vt:lpstr>
      <vt:lpstr>BLOCK_PERIOD_DATA</vt:lpstr>
      <vt:lpstr>BLOCK_PERIOD_QUARTER</vt:lpstr>
      <vt:lpstr>BLOCK_PERIOD_TWO_DATA</vt:lpstr>
      <vt:lpstr>BLOCK_PERIOD_YEAR</vt:lpstr>
      <vt:lpstr>BLOCK_POK_FHD_COLDVSNA_P1</vt:lpstr>
      <vt:lpstr>BLOCK_POK_FHD_COLDVSNA_P2</vt:lpstr>
      <vt:lpstr>BLOCK_POK_FHD_HEAT_P1</vt:lpstr>
      <vt:lpstr>BLOCK_POK_FHD_HEAT_P2</vt:lpstr>
      <vt:lpstr>BLOCK_POK_FHD_HEAT_P3</vt:lpstr>
      <vt:lpstr>BLOCK_POK_FHD_HEAT_P4</vt:lpstr>
      <vt:lpstr>BLOCK_POK_FHD_HEAT_P5</vt:lpstr>
      <vt:lpstr>BLOCK_POK_FHD_HEAT_P6</vt:lpstr>
      <vt:lpstr>BLOCK_POK_FHD_HOTVSNA_P1</vt:lpstr>
      <vt:lpstr>BLOCK_POK_FHD_HOTVSNA_P2</vt:lpstr>
      <vt:lpstr>BLOCK_POK_FHD_NOT_HEAT_P1</vt:lpstr>
      <vt:lpstr>BLOCK_POK_FHD_NOT_HEAT_P2</vt:lpstr>
      <vt:lpstr>BLOCK_POK_FHD_NOT_HOTVSNA</vt:lpstr>
      <vt:lpstr>BLOCK_POK_FHD_VOTV_P1</vt:lpstr>
      <vt:lpstr>BLOCK_POK_FHD_VSNA</vt:lpstr>
      <vt:lpstr>BLOCK_POK_FHD20_NOT_HEAT</vt:lpstr>
      <vt:lpstr>BLOCK_POK_KNE_COLDVSNA</vt:lpstr>
      <vt:lpstr>BLOCK_POK_KNE_HEAT</vt:lpstr>
      <vt:lpstr>BLOCK_POK_KNE_HOTVSNA</vt:lpstr>
      <vt:lpstr>BLOCK_POK_KNE_VOTV</vt:lpstr>
      <vt:lpstr>BLOCK_PRICE_INDICATORS_HEAT</vt:lpstr>
      <vt:lpstr>BLOCK_PRICE_IST_TE</vt:lpstr>
      <vt:lpstr>BLOCK_PRICE_REQUEST</vt:lpstr>
      <vt:lpstr>BLOCK_PT_COLDVSNA</vt:lpstr>
      <vt:lpstr>BLOCK_PT_HEAT</vt:lpstr>
      <vt:lpstr>BLOCK_PT_HOTVSNA</vt:lpstr>
      <vt:lpstr>BLOCK_PT_VOTV</vt:lpstr>
      <vt:lpstr>BLOCK_TABLE_P_TARIFF_A</vt:lpstr>
      <vt:lpstr>BLOCK_TABLE_P_TARIFF_A_COLDVSNA</vt:lpstr>
      <vt:lpstr>BLOCK_TABLE_P_TARIFF_A_HOTVSNA</vt:lpstr>
      <vt:lpstr>BLOCK_TABLE_P_TARIFF_A_VOTV</vt:lpstr>
      <vt:lpstr>BLOCK_TABLE_P_TARIFF_B</vt:lpstr>
      <vt:lpstr>BLOCK_TABLE_P_TARIFF_B_COLDVSNA</vt:lpstr>
      <vt:lpstr>BLOCK_TABLE_P_TARIFF_B_HOTVSNA</vt:lpstr>
      <vt:lpstr>BLOCK_TABLE_P_TARIFF_B_VOTV</vt:lpstr>
      <vt:lpstr>BLOCK_TABLE_P_TARIFF_C</vt:lpstr>
      <vt:lpstr>BLOCK_TABLE_P_TARIFF_C_COLDVSNA</vt:lpstr>
      <vt:lpstr>BLOCK_TABLE_P_TARIFF_C_HOTVSNA</vt:lpstr>
      <vt:lpstr>BLOCK_TABLE_P_TARIFF_C_VOTV</vt:lpstr>
      <vt:lpstr>BLOCK_TABLE_P_TARIFF_D</vt:lpstr>
      <vt:lpstr>BLOCK_TABLE_P_TARIFF_D_COLDVSNA</vt:lpstr>
      <vt:lpstr>BLOCK_TABLE_P_TARIFF_E_COLDVSNA</vt:lpstr>
      <vt:lpstr>BLOCK_TABLE_P_TARIFF_E1</vt:lpstr>
      <vt:lpstr>BLOCK_TABLE_P_TARIFF_E2</vt:lpstr>
      <vt:lpstr>BLOCK_TABLE_P_TARIFF_F</vt:lpstr>
      <vt:lpstr>BLOCK_TABLE_P_TARIFF_G</vt:lpstr>
      <vt:lpstr>BLOCK_TABLE_R_TARIFF_A</vt:lpstr>
      <vt:lpstr>BLOCK_TABLE_R_TARIFF_A_COLDVSNA</vt:lpstr>
      <vt:lpstr>BLOCK_TABLE_R_TARIFF_A_HOTVSNA</vt:lpstr>
      <vt:lpstr>BLOCK_TABLE_R_TARIFF_A_VOTV</vt:lpstr>
      <vt:lpstr>BLOCK_TABLE_R_TARIFF_B</vt:lpstr>
      <vt:lpstr>BLOCK_TABLE_R_TARIFF_B_COLDVSNA</vt:lpstr>
      <vt:lpstr>BLOCK_TABLE_R_TARIFF_B_HOTVSNA</vt:lpstr>
      <vt:lpstr>BLOCK_TABLE_R_TARIFF_B_VOTV</vt:lpstr>
      <vt:lpstr>BLOCK_TABLE_R_TARIFF_C</vt:lpstr>
      <vt:lpstr>BLOCK_TABLE_R_TARIFF_C_COLDVSNA</vt:lpstr>
      <vt:lpstr>BLOCK_TABLE_R_TARIFF_C_HOTVSNA</vt:lpstr>
      <vt:lpstr>BLOCK_TABLE_R_TARIFF_C_VOTV</vt:lpstr>
      <vt:lpstr>BLOCK_TABLE_R_TARIFF_D</vt:lpstr>
      <vt:lpstr>BLOCK_TABLE_R_TARIFF_D_COLDVSNA</vt:lpstr>
      <vt:lpstr>BLOCK_TABLE_R_TARIFF_E_COLDVSNA</vt:lpstr>
      <vt:lpstr>BLOCK_TABLE_R_TARIFF_E1</vt:lpstr>
      <vt:lpstr>BLOCK_TABLE_R_TARIFF_E2</vt:lpstr>
      <vt:lpstr>BLOCK_TABLE_R_TARIFF_F</vt:lpstr>
      <vt:lpstr>BLOCK_TABLE_R_TARIFF_G</vt:lpstr>
      <vt:lpstr>BLOCK_TEMPLATES_INVEST_TIT</vt:lpstr>
      <vt:lpstr>BLOCK_TERMS_HEAT_P1</vt:lpstr>
      <vt:lpstr>BLOCK_TERMS_NOT_TKO_P1</vt:lpstr>
      <vt:lpstr>BLOCK_TERMS_NOT_TKO_P2</vt:lpstr>
      <vt:lpstr>BLOCK_TERMS_TKO_TRANS</vt:lpstr>
      <vt:lpstr>BLOCK_TERRITORY_INFO</vt:lpstr>
      <vt:lpstr>BLOCK_TITLE_ROIV_INFO</vt:lpstr>
      <vt:lpstr>BLOCK_WARM_ORG_TYPE</vt:lpstr>
      <vt:lpstr>checkCell_List01</vt:lpstr>
      <vt:lpstr>checkCell_List07</vt:lpstr>
      <vt:lpstr>CLASS_TKO_LIST</vt:lpstr>
      <vt:lpstr>code</vt:lpstr>
      <vt:lpstr>CodeTemplateList</vt:lpstr>
      <vt:lpstr>COLDVSNA_FIN_SRC_LIST</vt:lpstr>
      <vt:lpstr>COLDVSNA_FIN_SRC_VLD_LIST</vt:lpstr>
      <vt:lpstr>COLDVSNA_IP_EVENT_CI_STAGE_LIST</vt:lpstr>
      <vt:lpstr>COLDVSNA_IP_EVENT_GROUP_LIST</vt:lpstr>
      <vt:lpstr>COLDVSNA_IP_EVENT_SUBGROUP_1_LIST</vt:lpstr>
      <vt:lpstr>COLDVSNA_IP_EVENT_SUBGROUP_3_LIST</vt:lpstr>
      <vt:lpstr>COLDVSNA_IP_EVENT_SUBGROUP_5_LIST</vt:lpstr>
      <vt:lpstr>COLDVSNA_IP_EVENT_TYPE_LIST</vt:lpstr>
      <vt:lpstr>COLDVSNA_PT_VED_ID</vt:lpstr>
      <vt:lpstr>COLDVSNA_PT_VED_NAME</vt:lpstr>
      <vt:lpstr>COLDVSNA_PT_VED_NAME_LIST</vt:lpstr>
      <vt:lpstr>COLDVSNA_TARIFF_A_COLDVSNA_ADD_HL_COLUMN_MARKER</vt:lpstr>
      <vt:lpstr>COLDVSNA_TARIFF_A_COLDVSNA_DEL_HL_DATA_DIFF_COLUMN_MARKER</vt:lpstr>
      <vt:lpstr>COLDVSNA_TARIFF_A_COLDVSNA_DEL_HL_FLAG_DIFF_COLUMN_MARKER</vt:lpstr>
      <vt:lpstr>COLDVSNA_TARIFF_A_COLDVSNA_DEL_HL_GC_COLUMN_MARKER</vt:lpstr>
      <vt:lpstr>COLDVSNA_TARIFF_A_COLDVSNA_DELETE_PERIOD_ROW_MARKER</vt:lpstr>
      <vt:lpstr>COLDVSNA_TARIFF_A_COLDVSNA_FLAG_BLOCK_COLUMN_MARKER</vt:lpstr>
      <vt:lpstr>COLDVSNA_TARIFF_A_COLDVSNA_FLAG_BLOCK_ROW_MARKER</vt:lpstr>
      <vt:lpstr>COLDVSNA_TARIFF_A_COLDVSNA_NUM_CS_COLUMN_MARKER</vt:lpstr>
      <vt:lpstr>COLDVSNA_TARIFF_A_COLDVSNA_NUM_DATA_DIFF_COLUMN_MARKER</vt:lpstr>
      <vt:lpstr>COLDVSNA_TARIFF_A_COLDVSNA_NUM_FLAG_DIFF_COLUMN_MARKER</vt:lpstr>
      <vt:lpstr>COLDVSNA_TARIFF_A_COLDVSNA_NUM_GC_COLUMN_MARKER</vt:lpstr>
      <vt:lpstr>COLDVSNA_TARIFF_A_COLDVSNA_NUM_NTAR_COLUMN_MARKER</vt:lpstr>
      <vt:lpstr>COLDVSNA_TARIFF_A_COLDVSNA_NUM_TER_COLUMN_MARKER</vt:lpstr>
      <vt:lpstr>COLDVSNA_TARIFF_B_COLDVSNA_ADD_HL_COLUMN_MARKER</vt:lpstr>
      <vt:lpstr>COLDVSNA_TARIFF_B_COLDVSNA_DEL_HL_DATA_DIFF_COLUMN_MARKER</vt:lpstr>
      <vt:lpstr>COLDVSNA_TARIFF_B_COLDVSNA_DEL_HL_FLAG_DIFF_COLUMN_MARKER</vt:lpstr>
      <vt:lpstr>COLDVSNA_TARIFF_B_COLDVSNA_DEL_HL_GC_COLUMN_MARKER</vt:lpstr>
      <vt:lpstr>COLDVSNA_TARIFF_B_COLDVSNA_DELETE_PERIOD_ROW_MARKER</vt:lpstr>
      <vt:lpstr>COLDVSNA_TARIFF_B_COLDVSNA_FLAG_BLOCK_COLUMN_MARKER</vt:lpstr>
      <vt:lpstr>COLDVSNA_TARIFF_B_COLDVSNA_FLAG_BLOCK_ROW_MARKER</vt:lpstr>
      <vt:lpstr>COLDVSNA_TARIFF_B_COLDVSNA_NUM_CS_COLUMN_MARKER</vt:lpstr>
      <vt:lpstr>COLDVSNA_TARIFF_B_COLDVSNA_NUM_DATA_DIFF_COLUMN_MARKER</vt:lpstr>
      <vt:lpstr>COLDVSNA_TARIFF_B_COLDVSNA_NUM_FLAG_DIFF_COLUMN_MARKER</vt:lpstr>
      <vt:lpstr>COLDVSNA_TARIFF_B_COLDVSNA_NUM_GC_COLUMN_MARKER</vt:lpstr>
      <vt:lpstr>COLDVSNA_TARIFF_B_COLDVSNA_NUM_NTAR_COLUMN_MARKER</vt:lpstr>
      <vt:lpstr>COLDVSNA_TARIFF_B_COLDVSNA_NUM_TER_COLUMN_MARKER</vt:lpstr>
      <vt:lpstr>COLDVSNA_TARIFF_C_COLDVSNA_ADD_HL_COLUMN_MARKER</vt:lpstr>
      <vt:lpstr>COLDVSNA_TARIFF_C_COLDVSNA_DEL_HL_DATA_DIFF_COLUMN_MARKER</vt:lpstr>
      <vt:lpstr>COLDVSNA_TARIFF_C_COLDVSNA_DEL_HL_FLAG_DIFF_COLUMN_MARKER</vt:lpstr>
      <vt:lpstr>COLDVSNA_TARIFF_C_COLDVSNA_DEL_HL_GC_COLUMN_MARKER</vt:lpstr>
      <vt:lpstr>COLDVSNA_TARIFF_C_COLDVSNA_DELETE_PERIOD_ROW_MARKER</vt:lpstr>
      <vt:lpstr>COLDVSNA_TARIFF_C_COLDVSNA_FLAG_BLOCK_COLUMN_MARKER</vt:lpstr>
      <vt:lpstr>COLDVSNA_TARIFF_C_COLDVSNA_FLAG_BLOCK_ROW_MARKER</vt:lpstr>
      <vt:lpstr>COLDVSNA_TARIFF_C_COLDVSNA_NUM_CS_COLUMN_MARKER</vt:lpstr>
      <vt:lpstr>COLDVSNA_TARIFF_C_COLDVSNA_NUM_DATA_DIFF_COLUMN_MARKER</vt:lpstr>
      <vt:lpstr>COLDVSNA_TARIFF_C_COLDVSNA_NUM_FLAG_DIFF_COLUMN_MARKER</vt:lpstr>
      <vt:lpstr>COLDVSNA_TARIFF_C_COLDVSNA_NUM_GC_COLUMN_MARKER</vt:lpstr>
      <vt:lpstr>COLDVSNA_TARIFF_C_COLDVSNA_NUM_NTAR_COLUMN_MARKER</vt:lpstr>
      <vt:lpstr>COLDVSNA_TARIFF_C_COLDVSNA_NUM_TER_COLUMN_MARKER</vt:lpstr>
      <vt:lpstr>COLDVSNA_TARIFF_D_COLDVSNA_ADD_HL_COLUMN_MARKER</vt:lpstr>
      <vt:lpstr>COLDVSNA_TARIFF_D_COLDVSNA_DEL_HL_DATA_DIFF_COLUMN_MARKER</vt:lpstr>
      <vt:lpstr>COLDVSNA_TARIFF_D_COLDVSNA_DEL_HL_FLAG_DIFF_COLUMN_MARKER</vt:lpstr>
      <vt:lpstr>COLDVSNA_TARIFF_D_COLDVSNA_DEL_HL_GC_COLUMN_MARKER</vt:lpstr>
      <vt:lpstr>COLDVSNA_TARIFF_D_COLDVSNA_DELETE_PERIOD_ROW_MARKER</vt:lpstr>
      <vt:lpstr>COLDVSNA_TARIFF_D_COLDVSNA_FLAG_BLOCK_COLUMN_MARKER</vt:lpstr>
      <vt:lpstr>COLDVSNA_TARIFF_D_COLDVSNA_FLAG_BLOCK_ROW_MARKER</vt:lpstr>
      <vt:lpstr>COLDVSNA_TARIFF_D_COLDVSNA_NUM_CS_COLUMN_MARKER</vt:lpstr>
      <vt:lpstr>COLDVSNA_TARIFF_D_COLDVSNA_NUM_DATA_DIFF_COLUMN_MARKER</vt:lpstr>
      <vt:lpstr>COLDVSNA_TARIFF_D_COLDVSNA_NUM_FLAG_DIFF_COLUMN_MARKER</vt:lpstr>
      <vt:lpstr>COLDVSNA_TARIFF_D_COLDVSNA_NUM_GC_COLUMN_MARKER</vt:lpstr>
      <vt:lpstr>COLDVSNA_TARIFF_D_COLDVSNA_NUM_NTAR_COLUMN_MARKER</vt:lpstr>
      <vt:lpstr>COLDVSNA_TARIFF_D_COLDVSNA_NUM_TER_COLUMN_MARKER</vt:lpstr>
      <vt:lpstr>COLDVSNA_TARIFF_E_COLDVSNA_ADD_HL_COLUMN_MARKER</vt:lpstr>
      <vt:lpstr>COLDVSNA_TARIFF_E_COLDVSNA_ADD_HL_DIAMETERS_COLUMN_MARKER</vt:lpstr>
      <vt:lpstr>COLDVSNA_TARIFF_E_COLDVSNA_ADD_HL_LEN_COLUMN_MARKER</vt:lpstr>
      <vt:lpstr>COLDVSNA_TARIFF_E_COLDVSNA_ADD_HL_LOAD_COLUMN_MARKER</vt:lpstr>
      <vt:lpstr>COLDVSNA_TARIFF_E_COLDVSNA_ADD_HL_NETS_COLUMN_MARKER</vt:lpstr>
      <vt:lpstr>COLDVSNA_TARIFF_E_COLDVSNA_DEL_HL_DATA_DIFF_COLUMN_MARKER</vt:lpstr>
      <vt:lpstr>COLDVSNA_TARIFF_E_COLDVSNA_DEL_HL_DIAMETERS_COLUMN_MARKER</vt:lpstr>
      <vt:lpstr>COLDVSNA_TARIFF_E_COLDVSNA_DEL_HL_FLAG_DIFF_COLUMN_MARKER</vt:lpstr>
      <vt:lpstr>COLDVSNA_TARIFF_E_COLDVSNA_DEL_HL_GC_COLUMN_MARKER</vt:lpstr>
      <vt:lpstr>COLDVSNA_TARIFF_E_COLDVSNA_DEL_HL_LEN_COLUMN_MARKER</vt:lpstr>
      <vt:lpstr>COLDVSNA_TARIFF_E_COLDVSNA_DEL_HL_LOAD_COLUMN_MARKER</vt:lpstr>
      <vt:lpstr>COLDVSNA_TARIFF_E_COLDVSNA_DEL_HL_NETS_COLUMN_MARKER</vt:lpstr>
      <vt:lpstr>COLDVSNA_TARIFF_E_COLDVSNA_DELETE_PERIOD_ROW_MARKER</vt:lpstr>
      <vt:lpstr>COLDVSNA_TARIFF_E_COLDVSNA_FLAG_BLOCK_COLUMN_MARKER</vt:lpstr>
      <vt:lpstr>COLDVSNA_TARIFF_E_COLDVSNA_FLAG_BLOCK_ROW_MARKER</vt:lpstr>
      <vt:lpstr>COLDVSNA_TARIFF_E_COLDVSNA_NUM_CS_COLUMN_MARKER</vt:lpstr>
      <vt:lpstr>COLDVSNA_TARIFF_E_COLDVSNA_NUM_DATA_DIFF_COLUMN_MARKER</vt:lpstr>
      <vt:lpstr>COLDVSNA_TARIFF_E_COLDVSNA_NUM_DIAMETERS_COLUMN_MARKER</vt:lpstr>
      <vt:lpstr>COLDVSNA_TARIFF_E_COLDVSNA_NUM_FLAG_DIFF_COLUMN_MARKER</vt:lpstr>
      <vt:lpstr>COLDVSNA_TARIFF_E_COLDVSNA_NUM_GC_COLUMN_MARKER</vt:lpstr>
      <vt:lpstr>COLDVSNA_TARIFF_E_COLDVSNA_NUM_LEN_COLUMN_MARKER</vt:lpstr>
      <vt:lpstr>COLDVSNA_TARIFF_E_COLDVSNA_NUM_LOAD_COLUMN_MARKER</vt:lpstr>
      <vt:lpstr>COLDVSNA_TARIFF_E_COLDVSNA_NUM_NETS_COLUMN_MARKER</vt:lpstr>
      <vt:lpstr>COLDVSNA_TARIFF_E_COLDVSNA_NUM_NTAR_COLUMN_MARKER</vt:lpstr>
      <vt:lpstr>COLDVSNA_TARIFF_E_COLDVSNA_NUM_TER_COLUMN_MARKER</vt:lpstr>
      <vt:lpstr>cross_without_borders</vt:lpstr>
      <vt:lpstr>CS_ID</vt:lpstr>
      <vt:lpstr>CURRENT_DATE</vt:lpstr>
      <vt:lpstr>DATA_URL</vt:lpstr>
      <vt:lpstr>DESCRIPTION_TERRITORY</vt:lpstr>
      <vt:lpstr>DIFFERENTIATION_AREA</vt:lpstr>
      <vt:lpstr>DIFFERENTIATION_AREA_ID</vt:lpstr>
      <vt:lpstr>DIFFERENTIATION_CheckC</vt:lpstr>
      <vt:lpstr>DIFFERENTIATION_fieldMarker</vt:lpstr>
      <vt:lpstr>DIFFERENTIATION_ID</vt:lpstr>
      <vt:lpstr>DIFFERENTIATION_ID_DIFF</vt:lpstr>
      <vt:lpstr>DIFFERENTIATION_SYSTEM</vt:lpstr>
      <vt:lpstr>DIFFERENTIATION_TARIFF_AREA_ID</vt:lpstr>
      <vt:lpstr>DIFFERENTIATION_TARIFF_VD_ID</vt:lpstr>
      <vt:lpstr>DIFFERENTIATION_TARIFF_VTAR_ID</vt:lpstr>
      <vt:lpstr>DIFFERENTIATION_TKO_ADD_HL_CLASS_TKO_COLUMN_MARKER</vt:lpstr>
      <vt:lpstr>DIFFERENTIATION_TKO_ADD_HL_NTAR_COLUMN_MARKER</vt:lpstr>
      <vt:lpstr>DIFFERENTIATION_TKO_ADD_HL_TER_COLUMN_MARKER</vt:lpstr>
      <vt:lpstr>DIFFERENTIATION_TKO_ADD_HL_TO_COLUMN_MARKER</vt:lpstr>
      <vt:lpstr>DIFFERENTIATION_TKO_ADD_HL_TYPE_TKO_COLUMN_MARKER</vt:lpstr>
      <vt:lpstr>DIFFERENTIATION_TKO_ADD_HL_VTAR_COLUMN_MARKER</vt:lpstr>
      <vt:lpstr>DIFFERENTIATION_TKO_AREA_ID</vt:lpstr>
      <vt:lpstr>DIFFERENTIATION_TKO_DEL_HL_CLASS_TKO_COLUMN_MARKER</vt:lpstr>
      <vt:lpstr>DIFFERENTIATION_TKO_DEL_HL_NTAR_COLUMN_MARKER</vt:lpstr>
      <vt:lpstr>DIFFERENTIATION_TKO_DEL_HL_TER_COLUMN_MARKER</vt:lpstr>
      <vt:lpstr>DIFFERENTIATION_TKO_DEL_HL_TO_COLUMN_MARKER</vt:lpstr>
      <vt:lpstr>DIFFERENTIATION_TKO_DEL_HL_TYPE_TKO_COLUMN_MARKER</vt:lpstr>
      <vt:lpstr>DIFFERENTIATION_TKO_FLAG_DIFF_CLASS_TKO_ETC_COLUMN_MARKER</vt:lpstr>
      <vt:lpstr>DIFFERENTIATION_TKO_FLAG_DIFF_CLASS_TKO_TARIFF_COLUMN_MARKER</vt:lpstr>
      <vt:lpstr>DIFFERENTIATION_TKO_FLAG_DIFF_TER_ETC_COLUMN_MARKER</vt:lpstr>
      <vt:lpstr>DIFFERENTIATION_TKO_FLAG_DIFF_TER_TARIFF_COLUMN_MARKER</vt:lpstr>
      <vt:lpstr>DIFFERENTIATION_TKO_FLAG_DIFF_TO_ETC_COLUMN_MARKER</vt:lpstr>
      <vt:lpstr>DIFFERENTIATION_TKO_FLAG_DIFF_TO_TARIFF_COLUMN_MARKER</vt:lpstr>
      <vt:lpstr>DIFFERENTIATION_TKO_FLAG_DIFF_TYPE_TKO_ETC_COLUMN_MARKER</vt:lpstr>
      <vt:lpstr>DIFFERENTIATION_TKO_FLAG_DIFF_TYPE_TKO_TARIFF_COLUMN_MARKER</vt:lpstr>
      <vt:lpstr>DIFFERENTIATION_TKO_FLAG_VTAR_COLUMN_MARKER</vt:lpstr>
      <vt:lpstr>DIFFERENTIATION_TKO_TER_ID</vt:lpstr>
      <vt:lpstr>DIFFERENTIATION_UNMERGE_AREA</vt:lpstr>
      <vt:lpstr>DIFFERENTIATION_UNMERGE_SYSTEM</vt:lpstr>
      <vt:lpstr>DIFFERENTIATION_UNMERGE_VD</vt:lpstr>
      <vt:lpstr>DIFFERENTIATION_VD</vt:lpstr>
      <vt:lpstr>DIFFERENTIATION_VD_ID</vt:lpstr>
      <vt:lpstr>ED_DATE</vt:lpstr>
      <vt:lpstr>ED_DATE_PARKING</vt:lpstr>
      <vt:lpstr>ED_LINK</vt:lpstr>
      <vt:lpstr>EndDateList</vt:lpstr>
      <vt:lpstr>et_B_FHD20_1</vt:lpstr>
      <vt:lpstr>et_B_FHD20_1_HEAT</vt:lpstr>
      <vt:lpstr>et_B_FHD20_1_NOT_HEAT</vt:lpstr>
      <vt:lpstr>et_B_FHD20_2</vt:lpstr>
      <vt:lpstr>et_B_FHD20_3</vt:lpstr>
      <vt:lpstr>et_B_FHD20_4</vt:lpstr>
      <vt:lpstr>et_CHANGE_INFO</vt:lpstr>
      <vt:lpstr>et_COLDVSNA_TARIFF_A_COLDVSNA_CS</vt:lpstr>
      <vt:lpstr>et_COLDVSNA_TARIFF_A_COLDVSNA_DATA_DIFF</vt:lpstr>
      <vt:lpstr>et_COLDVSNA_TARIFF_A_COLDVSNA_FLAG_DIFF</vt:lpstr>
      <vt:lpstr>et_COLDVSNA_TARIFF_A_COLDVSNA_GC</vt:lpstr>
      <vt:lpstr>et_COLDVSNA_TARIFF_A_COLDVSNA_NTAR</vt:lpstr>
      <vt:lpstr>et_COLDVSNA_TARIFF_A_COLDVSNA_PERIOD_COLOR</vt:lpstr>
      <vt:lpstr>et_COLDVSNA_TARIFF_A_COLDVSNA_PERIOD_NOT_COLOR</vt:lpstr>
      <vt:lpstr>et_COLDVSNA_TARIFF_A_COLDVSNA_TER</vt:lpstr>
      <vt:lpstr>et_COLDVSNA_TARIFF_A_COLDVSNA_TN</vt:lpstr>
      <vt:lpstr>et_COLDVSNA_TARIFF_B_COLDVSNA_CS</vt:lpstr>
      <vt:lpstr>et_COLDVSNA_TARIFF_B_COLDVSNA_DATA_DIFF</vt:lpstr>
      <vt:lpstr>et_COLDVSNA_TARIFF_B_COLDVSNA_FLAG_DIFF</vt:lpstr>
      <vt:lpstr>et_COLDVSNA_TARIFF_B_COLDVSNA_GC</vt:lpstr>
      <vt:lpstr>et_COLDVSNA_TARIFF_B_COLDVSNA_NTAR</vt:lpstr>
      <vt:lpstr>et_COLDVSNA_TARIFF_B_COLDVSNA_PERIOD_COLOR</vt:lpstr>
      <vt:lpstr>et_COLDVSNA_TARIFF_B_COLDVSNA_PERIOD_NOT_COLOR</vt:lpstr>
      <vt:lpstr>et_COLDVSNA_TARIFF_B_COLDVSNA_TER</vt:lpstr>
      <vt:lpstr>et_COLDVSNA_TARIFF_C_COLDVSNA_CS</vt:lpstr>
      <vt:lpstr>et_COLDVSNA_TARIFF_C_COLDVSNA_DATA_DIFF</vt:lpstr>
      <vt:lpstr>et_COLDVSNA_TARIFF_C_COLDVSNA_FLAG_DIFF</vt:lpstr>
      <vt:lpstr>et_COLDVSNA_TARIFF_C_COLDVSNA_GC</vt:lpstr>
      <vt:lpstr>et_COLDVSNA_TARIFF_C_COLDVSNA_NTAR</vt:lpstr>
      <vt:lpstr>et_COLDVSNA_TARIFF_C_COLDVSNA_PERIOD_COLOR</vt:lpstr>
      <vt:lpstr>et_COLDVSNA_TARIFF_C_COLDVSNA_PERIOD_NOT_COLOR</vt:lpstr>
      <vt:lpstr>et_COLDVSNA_TARIFF_C_COLDVSNA_TER</vt:lpstr>
      <vt:lpstr>et_COLDVSNA_TARIFF_D_COLDVSNA_CS</vt:lpstr>
      <vt:lpstr>et_COLDVSNA_TARIFF_D_COLDVSNA_DATA_DIFF</vt:lpstr>
      <vt:lpstr>et_COLDVSNA_TARIFF_D_COLDVSNA_FLAG_DIFF</vt:lpstr>
      <vt:lpstr>et_COLDVSNA_TARIFF_D_COLDVSNA_GC</vt:lpstr>
      <vt:lpstr>et_COLDVSNA_TARIFF_D_COLDVSNA_NTAR</vt:lpstr>
      <vt:lpstr>et_COLDVSNA_TARIFF_D_COLDVSNA_PERIOD_COLOR</vt:lpstr>
      <vt:lpstr>et_COLDVSNA_TARIFF_D_COLDVSNA_PERIOD_NOT_COLOR</vt:lpstr>
      <vt:lpstr>et_COLDVSNA_TARIFF_D_COLDVSNA_TER</vt:lpstr>
      <vt:lpstr>et_COLDVSNA_TARIFF_E_COLDVSNA_CS</vt:lpstr>
      <vt:lpstr>et_COLDVSNA_TARIFF_E_COLDVSNA_DATA_DIFF</vt:lpstr>
      <vt:lpstr>et_COLDVSNA_TARIFF_E_COLDVSNA_DIAMETERS</vt:lpstr>
      <vt:lpstr>et_COLDVSNA_TARIFF_E_COLDVSNA_FLAG_DIFF</vt:lpstr>
      <vt:lpstr>et_COLDVSNA_TARIFF_E_COLDVSNA_GC</vt:lpstr>
      <vt:lpstr>et_COLDVSNA_TARIFF_E_COLDVSNA_LEN</vt:lpstr>
      <vt:lpstr>et_COLDVSNA_TARIFF_E_COLDVSNA_LOAD</vt:lpstr>
      <vt:lpstr>et_COLDVSNA_TARIFF_E_COLDVSNA_NETS</vt:lpstr>
      <vt:lpstr>et_COLDVSNA_TARIFF_E_COLDVSNA_NTAR</vt:lpstr>
      <vt:lpstr>et_COLDVSNA_TARIFF_E_COLDVSNA_PERIOD_COLOR</vt:lpstr>
      <vt:lpstr>et_COLDVSNA_TARIFF_E_COLDVSNA_PERIOD_NOT_COLOR</vt:lpstr>
      <vt:lpstr>et_COLDVSNA_TARIFF_E_COLDVSNA_TER</vt:lpstr>
      <vt:lpstr>et_Comm</vt:lpstr>
      <vt:lpstr>et_DIFFERENTIATION_AREA</vt:lpstr>
      <vt:lpstr>et_DIFFERENTIATION_SYSTEM</vt:lpstr>
      <vt:lpstr>et_DIFFERENTIATION_TARIFF_COLOR</vt:lpstr>
      <vt:lpstr>et_DIFFERENTIATION_TARIFF_CS</vt:lpstr>
      <vt:lpstr>et_DIFFERENTIATION_TARIFF_IST_TE</vt:lpstr>
      <vt:lpstr>et_DIFFERENTIATION_TARIFF_NOT_COLOR</vt:lpstr>
      <vt:lpstr>et_DIFFERENTIATION_TARIFF_NOT_HEAT_COLOR</vt:lpstr>
      <vt:lpstr>et_DIFFERENTIATION_TARIFF_NOT_HEAT_CS</vt:lpstr>
      <vt:lpstr>et_DIFFERENTIATION_TARIFF_NOT_HEAT_NTAR</vt:lpstr>
      <vt:lpstr>et_DIFFERENTIATION_TARIFF_NOT_HEAT_TER</vt:lpstr>
      <vt:lpstr>et_DIFFERENTIATION_TARIFF_NOT_HEAT_VTAR</vt:lpstr>
      <vt:lpstr>et_DIFFERENTIATION_TARIFF_NTAR</vt:lpstr>
      <vt:lpstr>et_DIFFERENTIATION_TARIFF_TER</vt:lpstr>
      <vt:lpstr>et_DIFFERENTIATION_TARIFF_VTAR</vt:lpstr>
      <vt:lpstr>et_DIFFERENTIATION_TKO_CLASS_TKO</vt:lpstr>
      <vt:lpstr>et_DIFFERENTIATION_TKO_COLOR</vt:lpstr>
      <vt:lpstr>et_DIFFERENTIATION_TKO_NOT_COLOR</vt:lpstr>
      <vt:lpstr>et_DIFFERENTIATION_TKO_NTAR</vt:lpstr>
      <vt:lpstr>et_DIFFERENTIATION_TKO_TER</vt:lpstr>
      <vt:lpstr>et_DIFFERENTIATION_TKO_TO</vt:lpstr>
      <vt:lpstr>et_DIFFERENTIATION_TKO_TYPE_TKO</vt:lpstr>
      <vt:lpstr>et_DIFFERENTIATION_TKO_VTAR</vt:lpstr>
      <vt:lpstr>et_DIFFERENTIATION_VD</vt:lpstr>
      <vt:lpstr>et_ED</vt:lpstr>
      <vt:lpstr>et_HEAT_TARIFF_A_CS</vt:lpstr>
      <vt:lpstr>et_HEAT_TARIFF_A_GC</vt:lpstr>
      <vt:lpstr>et_HEAT_TARIFF_A_IST_TE</vt:lpstr>
      <vt:lpstr>et_HEAT_TARIFF_A_NTAR</vt:lpstr>
      <vt:lpstr>et_HEAT_TARIFF_A_PERIOD_COLOR</vt:lpstr>
      <vt:lpstr>et_HEAT_TARIFF_A_PERIOD_NOT_COLOR</vt:lpstr>
      <vt:lpstr>et_HEAT_TARIFF_A_SCHEME</vt:lpstr>
      <vt:lpstr>et_HEAT_TARIFF_A_TER</vt:lpstr>
      <vt:lpstr>et_HEAT_TARIFF_A_TN</vt:lpstr>
      <vt:lpstr>et_HEAT_TARIFF_B_CS</vt:lpstr>
      <vt:lpstr>et_HEAT_TARIFF_B_GC</vt:lpstr>
      <vt:lpstr>et_HEAT_TARIFF_B_IST_TE</vt:lpstr>
      <vt:lpstr>et_HEAT_TARIFF_B_NTAR</vt:lpstr>
      <vt:lpstr>et_HEAT_TARIFF_B_PERIOD_COLOR</vt:lpstr>
      <vt:lpstr>et_HEAT_TARIFF_B_PERIOD_NOT_COLOR</vt:lpstr>
      <vt:lpstr>et_HEAT_TARIFF_B_SCHEME</vt:lpstr>
      <vt:lpstr>et_HEAT_TARIFF_B_TER</vt:lpstr>
      <vt:lpstr>et_HEAT_TARIFF_B_TN</vt:lpstr>
      <vt:lpstr>et_HEAT_TARIFF_C_CS</vt:lpstr>
      <vt:lpstr>et_HEAT_TARIFF_C_GC</vt:lpstr>
      <vt:lpstr>et_HEAT_TARIFF_C_IST_TE</vt:lpstr>
      <vt:lpstr>et_HEAT_TARIFF_C_NTAR</vt:lpstr>
      <vt:lpstr>et_HEAT_TARIFF_C_PERIOD_COLOR</vt:lpstr>
      <vt:lpstr>et_HEAT_TARIFF_C_PERIOD_NOT_COLOR</vt:lpstr>
      <vt:lpstr>et_HEAT_TARIFF_C_SCHEME</vt:lpstr>
      <vt:lpstr>et_HEAT_TARIFF_C_TER</vt:lpstr>
      <vt:lpstr>et_HEAT_TARIFF_C_TN</vt:lpstr>
      <vt:lpstr>et_HEAT_TARIFF_D_CONS</vt:lpstr>
      <vt:lpstr>et_HEAT_TARIFF_D_CS</vt:lpstr>
      <vt:lpstr>et_HEAT_TARIFF_D_GC</vt:lpstr>
      <vt:lpstr>et_HEAT_TARIFF_D_IST_TE</vt:lpstr>
      <vt:lpstr>et_HEAT_TARIFF_D_NTAR</vt:lpstr>
      <vt:lpstr>et_HEAT_TARIFF_D_PERIOD_COLOR</vt:lpstr>
      <vt:lpstr>et_HEAT_TARIFF_D_PERIOD_NOT_COLOR</vt:lpstr>
      <vt:lpstr>et_HEAT_TARIFF_D_SCHEME</vt:lpstr>
      <vt:lpstr>et_HEAT_TARIFF_D_TER</vt:lpstr>
      <vt:lpstr>et_HEAT_TARIFF_D_TN</vt:lpstr>
      <vt:lpstr>et_HEAT_TARIFF_E1_CS</vt:lpstr>
      <vt:lpstr>et_HEAT_TARIFF_E1_GC</vt:lpstr>
      <vt:lpstr>et_HEAT_TARIFF_E1_IST_TE</vt:lpstr>
      <vt:lpstr>et_HEAT_TARIFF_E1_NTAR</vt:lpstr>
      <vt:lpstr>et_HEAT_TARIFF_E1_PERIOD_COLOR</vt:lpstr>
      <vt:lpstr>et_HEAT_TARIFF_E1_PERIOD_NOT_COLOR</vt:lpstr>
      <vt:lpstr>et_HEAT_TARIFF_E1_SCHEME</vt:lpstr>
      <vt:lpstr>et_HEAT_TARIFF_E1_TER</vt:lpstr>
      <vt:lpstr>et_HEAT_TARIFF_E1_TN</vt:lpstr>
      <vt:lpstr>et_HEAT_TARIFF_E2_CS</vt:lpstr>
      <vt:lpstr>et_HEAT_TARIFF_E2_GC</vt:lpstr>
      <vt:lpstr>et_HEAT_TARIFF_E2_IST_TE</vt:lpstr>
      <vt:lpstr>et_HEAT_TARIFF_E2_NTAR</vt:lpstr>
      <vt:lpstr>et_HEAT_TARIFF_E2_PERIOD_COLOR</vt:lpstr>
      <vt:lpstr>et_HEAT_TARIFF_E2_PERIOD_NOT_COLOR</vt:lpstr>
      <vt:lpstr>et_HEAT_TARIFF_E2_SCHEME</vt:lpstr>
      <vt:lpstr>et_HEAT_TARIFF_E2_TER</vt:lpstr>
      <vt:lpstr>et_HEAT_TARIFF_E2_TN</vt:lpstr>
      <vt:lpstr>et_HEAT_TARIFF_F_CS</vt:lpstr>
      <vt:lpstr>et_HEAT_TARIFF_F_GC</vt:lpstr>
      <vt:lpstr>et_HEAT_TARIFF_F_IST_TE</vt:lpstr>
      <vt:lpstr>et_HEAT_TARIFF_F_NTAR</vt:lpstr>
      <vt:lpstr>et_HEAT_TARIFF_F_PERIOD_COLOR</vt:lpstr>
      <vt:lpstr>et_HEAT_TARIFF_F_PERIOD_NOT_COLOR</vt:lpstr>
      <vt:lpstr>et_HEAT_TARIFF_F_SCHEME</vt:lpstr>
      <vt:lpstr>et_HEAT_TARIFF_F_TER</vt:lpstr>
      <vt:lpstr>et_HEAT_TARIFF_F_TN</vt:lpstr>
      <vt:lpstr>et_HEAT_TARIFF_G_CS</vt:lpstr>
      <vt:lpstr>et_HEAT_TARIFF_G_DIAMETERS</vt:lpstr>
      <vt:lpstr>et_HEAT_TARIFF_G_GC</vt:lpstr>
      <vt:lpstr>et_HEAT_TARIFF_G_IST_TE</vt:lpstr>
      <vt:lpstr>et_HEAT_TARIFF_G_LOAD</vt:lpstr>
      <vt:lpstr>et_HEAT_TARIFF_G_NETS</vt:lpstr>
      <vt:lpstr>et_HEAT_TARIFF_G_NTAR</vt:lpstr>
      <vt:lpstr>et_HEAT_TARIFF_G_PERIOD_COLOR</vt:lpstr>
      <vt:lpstr>et_HEAT_TARIFF_G_PERIOD_NOT_COLOR</vt:lpstr>
      <vt:lpstr>et_HEAT_TARIFF_G_SCHEME</vt:lpstr>
      <vt:lpstr>et_HEAT_TARIFF_G_TER</vt:lpstr>
      <vt:lpstr>et_HEAT_TARIFF_G_TN</vt:lpstr>
      <vt:lpstr>et_hor_B_FHD_1</vt:lpstr>
      <vt:lpstr>et_hor_B_FHD_2</vt:lpstr>
      <vt:lpstr>et_hor_B_FHD_3</vt:lpstr>
      <vt:lpstr>et_hor_B_FHD_4</vt:lpstr>
      <vt:lpstr>et_hor_B_FHD_5</vt:lpstr>
      <vt:lpstr>et_hor_B_FHD_6</vt:lpstr>
      <vt:lpstr>et_hor_B_FHD_TKO_2</vt:lpstr>
      <vt:lpstr>et_hor_B_FHD_TKO_TRANS_2</vt:lpstr>
      <vt:lpstr>et_hor_Q_LIMIT_1</vt:lpstr>
      <vt:lpstr>et_hor_Q_LIMIT_2</vt:lpstr>
      <vt:lpstr>et_hor_Q_LIMIT_3</vt:lpstr>
      <vt:lpstr>et_hor_Q_LIMIT_4</vt:lpstr>
      <vt:lpstr>et_hor_Q_TP_1</vt:lpstr>
      <vt:lpstr>et_HOTVSNA_TARIFF_A_HOTVSNA_CS</vt:lpstr>
      <vt:lpstr>et_HOTVSNA_TARIFF_A_HOTVSNA_DATA_DIFF</vt:lpstr>
      <vt:lpstr>et_HOTVSNA_TARIFF_A_HOTVSNA_FLAG_DIFF</vt:lpstr>
      <vt:lpstr>et_HOTVSNA_TARIFF_A_HOTVSNA_GC</vt:lpstr>
      <vt:lpstr>et_HOTVSNA_TARIFF_A_HOTVSNA_NTAR</vt:lpstr>
      <vt:lpstr>et_HOTVSNA_TARIFF_A_HOTVSNA_PERIOD_COLOR</vt:lpstr>
      <vt:lpstr>et_HOTVSNA_TARIFF_A_HOTVSNA_PERIOD_NOT_COLOR</vt:lpstr>
      <vt:lpstr>et_HOTVSNA_TARIFF_A_HOTVSNA_TER</vt:lpstr>
      <vt:lpstr>et_HOTVSNA_TARIFF_A_HOTVSNA_TN</vt:lpstr>
      <vt:lpstr>et_HOTVSNA_TARIFF_B_HOTVSNA_CS</vt:lpstr>
      <vt:lpstr>et_HOTVSNA_TARIFF_B_HOTVSNA_DATA_DIFF</vt:lpstr>
      <vt:lpstr>et_HOTVSNA_TARIFF_B_HOTVSNA_FLAG_DIFF</vt:lpstr>
      <vt:lpstr>et_HOTVSNA_TARIFF_B_HOTVSNA_GC</vt:lpstr>
      <vt:lpstr>et_HOTVSNA_TARIFF_B_HOTVSNA_NTAR</vt:lpstr>
      <vt:lpstr>et_HOTVSNA_TARIFF_B_HOTVSNA_PERIOD_COLOR</vt:lpstr>
      <vt:lpstr>et_HOTVSNA_TARIFF_B_HOTVSNA_PERIOD_NOT_COLOR</vt:lpstr>
      <vt:lpstr>et_HOTVSNA_TARIFF_B_HOTVSNA_TER</vt:lpstr>
      <vt:lpstr>et_HOTVSNA_TARIFF_B_HOTVSNA_TN</vt:lpstr>
      <vt:lpstr>et_HOTVSNA_TARIFF_C_HOTVSNA_CS</vt:lpstr>
      <vt:lpstr>et_HOTVSNA_TARIFF_C_HOTVSNA_DATA_DIFF</vt:lpstr>
      <vt:lpstr>et_HOTVSNA_TARIFF_C_HOTVSNA_DIAMETERS</vt:lpstr>
      <vt:lpstr>et_HOTVSNA_TARIFF_C_HOTVSNA_FLAG_DIFF</vt:lpstr>
      <vt:lpstr>et_HOTVSNA_TARIFF_C_HOTVSNA_GC</vt:lpstr>
      <vt:lpstr>et_HOTVSNA_TARIFF_C_HOTVSNA_LEN</vt:lpstr>
      <vt:lpstr>et_HOTVSNA_TARIFF_C_HOTVSNA_LOAD</vt:lpstr>
      <vt:lpstr>et_HOTVSNA_TARIFF_C_HOTVSNA_NETS</vt:lpstr>
      <vt:lpstr>et_HOTVSNA_TARIFF_C_HOTVSNA_NTAR</vt:lpstr>
      <vt:lpstr>et_HOTVSNA_TARIFF_C_HOTVSNA_PERIOD_COLOR</vt:lpstr>
      <vt:lpstr>et_HOTVSNA_TARIFF_C_HOTVSNA_PERIOD_NOT_COLOR</vt:lpstr>
      <vt:lpstr>et_HOTVSNA_TARIFF_C_HOTVSNA_TER</vt:lpstr>
      <vt:lpstr>et_IP_DETAILED</vt:lpstr>
      <vt:lpstr>et_IP_DETAILED_EVENT</vt:lpstr>
      <vt:lpstr>et_IP_DETAILED_IST_FIN</vt:lpstr>
      <vt:lpstr>et_IP_DETAILED_OBJECT</vt:lpstr>
      <vt:lpstr>et_IP_DETAILED_YEAR</vt:lpstr>
      <vt:lpstr>et_IP_MAIN</vt:lpstr>
      <vt:lpstr>et_IP_MAIN_PROPERTY</vt:lpstr>
      <vt:lpstr>et_IP_QRE</vt:lpstr>
      <vt:lpstr>et_IP_QRE_CLAIM</vt:lpstr>
      <vt:lpstr>et_List02</vt:lpstr>
      <vt:lpstr>et_List02_1_wd</vt:lpstr>
      <vt:lpstr>et_List02_2_wd</vt:lpstr>
      <vt:lpstr>et_List02_3_wd</vt:lpstr>
      <vt:lpstr>et_List02_4_wd</vt:lpstr>
      <vt:lpstr>et_List02_changeColor_1</vt:lpstr>
      <vt:lpstr>et_List02_changeColor_1_wd</vt:lpstr>
      <vt:lpstr>et_List02_changeColor_2</vt:lpstr>
      <vt:lpstr>et_List02_changeColor_2_wd</vt:lpstr>
      <vt:lpstr>et_List02_changeColor_3</vt:lpstr>
      <vt:lpstr>et_List02_changeColor_3_wd</vt:lpstr>
      <vt:lpstr>et_List02_changeColor_4</vt:lpstr>
      <vt:lpstr>et_List02_changeColor_4_wd</vt:lpstr>
      <vt:lpstr>et_List02_wd</vt:lpstr>
      <vt:lpstr>et_OFFER_p1</vt:lpstr>
      <vt:lpstr>et_OFFER_p2</vt:lpstr>
      <vt:lpstr>et_ORG_INFO_1</vt:lpstr>
      <vt:lpstr>et_ORG_INFO_2</vt:lpstr>
      <vt:lpstr>et_ORG_TERRITORY_MO</vt:lpstr>
      <vt:lpstr>et_ORG_TERRITORY_MO_FLAG_INTERNET</vt:lpstr>
      <vt:lpstr>et_ORG_TERRITORY_MO_LINK</vt:lpstr>
      <vt:lpstr>et_ORG_VD</vt:lpstr>
      <vt:lpstr>et_ORG_VD_COLDVSNA</vt:lpstr>
      <vt:lpstr>et_ORG_VD_FIRST_SYSTEM</vt:lpstr>
      <vt:lpstr>et_ORG_VD_HEAT</vt:lpstr>
      <vt:lpstr>et_ORG_VD_HOTVSNA</vt:lpstr>
      <vt:lpstr>et_ORG_VD_TKO_ACTIVITY</vt:lpstr>
      <vt:lpstr>et_ORG_VD_TKO_TYPE_OBJECT</vt:lpstr>
      <vt:lpstr>et_ORG_VD_VOTV</vt:lpstr>
      <vt:lpstr>et_P_PROCEDURE_TC_1</vt:lpstr>
      <vt:lpstr>et_P_PROCEDURE_TC_2</vt:lpstr>
      <vt:lpstr>et_P_PROCEDURE_TC_3</vt:lpstr>
      <vt:lpstr>et_P_PROCEDURE_TC_4</vt:lpstr>
      <vt:lpstr>et_P_PROCEDURE_TC_5</vt:lpstr>
      <vt:lpstr>et_P_T_TERMS</vt:lpstr>
      <vt:lpstr>et_Q_TP_DIFFERENTIATION</vt:lpstr>
      <vt:lpstr>et_QRE</vt:lpstr>
      <vt:lpstr>et_QRE_CLAIM</vt:lpstr>
      <vt:lpstr>et_R_B_Purch</vt:lpstr>
      <vt:lpstr>et_ROIV_CASE_case</vt:lpstr>
      <vt:lpstr>et_ROIV_INFO_phone</vt:lpstr>
      <vt:lpstr>et_ROIV_ORG_org</vt:lpstr>
      <vt:lpstr>et_ROIV_OTV_DL</vt:lpstr>
      <vt:lpstr>et_ROIV_OTV_org</vt:lpstr>
      <vt:lpstr>et_TERMS</vt:lpstr>
      <vt:lpstr>et_TERRITORY_AREA</vt:lpstr>
      <vt:lpstr>et_TERRITORY_MO</vt:lpstr>
      <vt:lpstr>et_ver_B_FHD_DIFFERENTIATION</vt:lpstr>
      <vt:lpstr>et_ver_B_FHD_TKO_DIFFERENTIATION</vt:lpstr>
      <vt:lpstr>et_ver_B_FHD_TKO_TRANS_DIFFERENTIATION</vt:lpstr>
      <vt:lpstr>et_ver_B_KNE_DIFFERENTIATION</vt:lpstr>
      <vt:lpstr>et_ver_COLDVSNA_TARIFF_A_COLDVSNA</vt:lpstr>
      <vt:lpstr>et_ver_COLDVSNA_TARIFF_B_COLDVSNA</vt:lpstr>
      <vt:lpstr>et_ver_COLDVSNA_TARIFF_C_COLDVSNA</vt:lpstr>
      <vt:lpstr>et_ver_COLDVSNA_TARIFF_D_COLDVSNA</vt:lpstr>
      <vt:lpstr>et_ver_COLDVSNA_TARIFF_E_COLDVSNA</vt:lpstr>
      <vt:lpstr>et_ver_HEAT_TARIFF_A</vt:lpstr>
      <vt:lpstr>et_ver_HEAT_TARIFF_B</vt:lpstr>
      <vt:lpstr>et_ver_HEAT_TARIFF_C</vt:lpstr>
      <vt:lpstr>et_ver_HEAT_TARIFF_D</vt:lpstr>
      <vt:lpstr>et_ver_HEAT_TARIFF_E1</vt:lpstr>
      <vt:lpstr>et_ver_HEAT_TARIFF_E2</vt:lpstr>
      <vt:lpstr>et_ver_HEAT_TARIFF_F</vt:lpstr>
      <vt:lpstr>et_ver_HEAT_TARIFF_G</vt:lpstr>
      <vt:lpstr>et_ver_HOTVSNA_TARIFF_A_HOTVSNA</vt:lpstr>
      <vt:lpstr>et_ver_HOTVSNA_TARIFF_B_HOTVSNA</vt:lpstr>
      <vt:lpstr>et_ver_HOTVSNA_TARIFF_C_HOTVSNA</vt:lpstr>
      <vt:lpstr>et_ver_IP_FIN_PLAN</vt:lpstr>
      <vt:lpstr>et_ver_IP_FIN_PLAN_YEAR</vt:lpstr>
      <vt:lpstr>et_ver_Q_LIMIT_DIFFERENTIATION</vt:lpstr>
      <vt:lpstr>et_ver_Q_PH_DIFFERENTIATION</vt:lpstr>
      <vt:lpstr>et_ver_Q_TP_DIFFERENTIATION</vt:lpstr>
      <vt:lpstr>et_ver_VOTV_TARIFF_A_VOTV</vt:lpstr>
      <vt:lpstr>et_ver_VOTV_TARIFF_B_VOTV</vt:lpstr>
      <vt:lpstr>et_ver_VOTV_TARIFF_C_VOTV</vt:lpstr>
      <vt:lpstr>et_VOTV_TARIFF_A_VOTV_CS</vt:lpstr>
      <vt:lpstr>et_VOTV_TARIFF_A_VOTV_DATA_DIFF</vt:lpstr>
      <vt:lpstr>et_VOTV_TARIFF_A_VOTV_FLAG_DIFF</vt:lpstr>
      <vt:lpstr>et_VOTV_TARIFF_A_VOTV_GC</vt:lpstr>
      <vt:lpstr>et_VOTV_TARIFF_A_VOTV_NTAR</vt:lpstr>
      <vt:lpstr>et_VOTV_TARIFF_A_VOTV_PERIOD_COLOR</vt:lpstr>
      <vt:lpstr>et_VOTV_TARIFF_A_VOTV_PERIOD_NOT_COLOR</vt:lpstr>
      <vt:lpstr>et_VOTV_TARIFF_A_VOTV_TER</vt:lpstr>
      <vt:lpstr>et_VOTV_TARIFF_A_VOTV_TN</vt:lpstr>
      <vt:lpstr>et_VOTV_TARIFF_B_VOTV_CS</vt:lpstr>
      <vt:lpstr>et_VOTV_TARIFF_B_VOTV_DATA_DIFF</vt:lpstr>
      <vt:lpstr>et_VOTV_TARIFF_B_VOTV_FLAG_DIFF</vt:lpstr>
      <vt:lpstr>et_VOTV_TARIFF_B_VOTV_GC</vt:lpstr>
      <vt:lpstr>et_VOTV_TARIFF_B_VOTV_NTAR</vt:lpstr>
      <vt:lpstr>et_VOTV_TARIFF_B_VOTV_PERIOD_COLOR</vt:lpstr>
      <vt:lpstr>et_VOTV_TARIFF_B_VOTV_PERIOD_NOT_COLOR</vt:lpstr>
      <vt:lpstr>et_VOTV_TARIFF_B_VOTV_TER</vt:lpstr>
      <vt:lpstr>et_VOTV_TARIFF_B_VOTV_TN</vt:lpstr>
      <vt:lpstr>et_VOTV_TARIFF_C_VOTV_CS</vt:lpstr>
      <vt:lpstr>et_VOTV_TARIFF_C_VOTV_DATA_DIFF</vt:lpstr>
      <vt:lpstr>et_VOTV_TARIFF_C_VOTV_DIAMETERS</vt:lpstr>
      <vt:lpstr>et_VOTV_TARIFF_C_VOTV_FLAG_DIFF</vt:lpstr>
      <vt:lpstr>et_VOTV_TARIFF_C_VOTV_GC</vt:lpstr>
      <vt:lpstr>et_VOTV_TARIFF_C_VOTV_LEN</vt:lpstr>
      <vt:lpstr>et_VOTV_TARIFF_C_VOTV_LOAD</vt:lpstr>
      <vt:lpstr>et_VOTV_TARIFF_C_VOTV_NETS</vt:lpstr>
      <vt:lpstr>et_VOTV_TARIFF_C_VOTV_NTAR</vt:lpstr>
      <vt:lpstr>et_VOTV_TARIFF_C_VOTV_PERIOD_COLOR</vt:lpstr>
      <vt:lpstr>et_VOTV_TARIFF_C_VOTV_PERIOD_NOT_COLOR</vt:lpstr>
      <vt:lpstr>et_VOTV_TARIFF_C_VOTV_TER</vt:lpstr>
      <vt:lpstr>f_quart</vt:lpstr>
      <vt:lpstr>f_year</vt:lpstr>
      <vt:lpstr>FHD_NAME_FORM</vt:lpstr>
      <vt:lpstr>FHD_NOTE_P_1</vt:lpstr>
      <vt:lpstr>FHD_NOTE_P_10</vt:lpstr>
      <vt:lpstr>FHD_NOTE_P_11</vt:lpstr>
      <vt:lpstr>FHD_NOTE_P_12</vt:lpstr>
      <vt:lpstr>FHD_NOTE_P_13</vt:lpstr>
      <vt:lpstr>FHD_NOTE_P_14</vt:lpstr>
      <vt:lpstr>FHD_NOTE_P_15</vt:lpstr>
      <vt:lpstr>FHD_NOTE_P_16</vt:lpstr>
      <vt:lpstr>FHD_NOTE_P_17</vt:lpstr>
      <vt:lpstr>FHD_NOTE_P_18</vt:lpstr>
      <vt:lpstr>FHD_NOTE_P_19</vt:lpstr>
      <vt:lpstr>FHD_NOTE_P_2</vt:lpstr>
      <vt:lpstr>FHD_NOTE_P_20</vt:lpstr>
      <vt:lpstr>FHD_NOTE_P_21</vt:lpstr>
      <vt:lpstr>FHD_NOTE_P_22</vt:lpstr>
      <vt:lpstr>FHD_NOTE_P_23</vt:lpstr>
      <vt:lpstr>FHD_NOTE_P_24</vt:lpstr>
      <vt:lpstr>FHD_NOTE_P_25</vt:lpstr>
      <vt:lpstr>FHD_NOTE_P_26</vt:lpstr>
      <vt:lpstr>FHD_NOTE_P_27</vt:lpstr>
      <vt:lpstr>FHD_NOTE_P_28</vt:lpstr>
      <vt:lpstr>FHD_NOTE_P_29</vt:lpstr>
      <vt:lpstr>FHD_NOTE_P_3</vt:lpstr>
      <vt:lpstr>FHD_NOTE_P_30</vt:lpstr>
      <vt:lpstr>FHD_NOTE_P_31</vt:lpstr>
      <vt:lpstr>FHD_NOTE_P_32</vt:lpstr>
      <vt:lpstr>FHD_NOTE_P_33</vt:lpstr>
      <vt:lpstr>FHD_NOTE_P_34</vt:lpstr>
      <vt:lpstr>FHD_NOTE_P_35</vt:lpstr>
      <vt:lpstr>FHD_NOTE_P_36</vt:lpstr>
      <vt:lpstr>FHD_NOTE_P_37</vt:lpstr>
      <vt:lpstr>FHD_NOTE_P_38</vt:lpstr>
      <vt:lpstr>FHD_NOTE_P_39</vt:lpstr>
      <vt:lpstr>FHD_NOTE_P_4</vt:lpstr>
      <vt:lpstr>FHD_NOTE_P_40</vt:lpstr>
      <vt:lpstr>FHD_NOTE_P_41</vt:lpstr>
      <vt:lpstr>FHD_NOTE_P_42</vt:lpstr>
      <vt:lpstr>FHD_NOTE_P_43</vt:lpstr>
      <vt:lpstr>FHD_NOTE_P_44</vt:lpstr>
      <vt:lpstr>FHD_NOTE_P_45</vt:lpstr>
      <vt:lpstr>FHD_NOTE_P_46</vt:lpstr>
      <vt:lpstr>FHD_NOTE_P_47</vt:lpstr>
      <vt:lpstr>FHD_NOTE_P_48</vt:lpstr>
      <vt:lpstr>FHD_NOTE_P_49</vt:lpstr>
      <vt:lpstr>FHD_NOTE_P_5</vt:lpstr>
      <vt:lpstr>FHD_NOTE_P_50</vt:lpstr>
      <vt:lpstr>FHD_NOTE_P_51</vt:lpstr>
      <vt:lpstr>FHD_NOTE_P_52</vt:lpstr>
      <vt:lpstr>FHD_NOTE_P_53</vt:lpstr>
      <vt:lpstr>FHD_NOTE_P_54</vt:lpstr>
      <vt:lpstr>FHD_NOTE_P_55</vt:lpstr>
      <vt:lpstr>FHD_NOTE_P_56</vt:lpstr>
      <vt:lpstr>FHD_NOTE_P_57</vt:lpstr>
      <vt:lpstr>FHD_NOTE_P_58</vt:lpstr>
      <vt:lpstr>FHD_NOTE_P_59</vt:lpstr>
      <vt:lpstr>FHD_NOTE_P_6</vt:lpstr>
      <vt:lpstr>FHD_NOTE_P_60</vt:lpstr>
      <vt:lpstr>FHD_NOTE_P_61</vt:lpstr>
      <vt:lpstr>FHD_NOTE_P_62</vt:lpstr>
      <vt:lpstr>FHD_NOTE_P_63</vt:lpstr>
      <vt:lpstr>FHD_NOTE_P_64</vt:lpstr>
      <vt:lpstr>FHD_NOTE_P_65</vt:lpstr>
      <vt:lpstr>FHD_NOTE_P_66</vt:lpstr>
      <vt:lpstr>FHD_NOTE_P_67</vt:lpstr>
      <vt:lpstr>FHD_NOTE_P_68</vt:lpstr>
      <vt:lpstr>FHD_NOTE_P_69</vt:lpstr>
      <vt:lpstr>FHD_NOTE_P_7</vt:lpstr>
      <vt:lpstr>FHD_NOTE_P_70</vt:lpstr>
      <vt:lpstr>FHD_NOTE_P_71</vt:lpstr>
      <vt:lpstr>FHD_NOTE_P_72</vt:lpstr>
      <vt:lpstr>FHD_NOTE_P_73</vt:lpstr>
      <vt:lpstr>FHD_NOTE_P_74</vt:lpstr>
      <vt:lpstr>FHD_NOTE_P_75</vt:lpstr>
      <vt:lpstr>FHD_NOTE_P_76</vt:lpstr>
      <vt:lpstr>FHD_NOTE_P_77</vt:lpstr>
      <vt:lpstr>FHD_NOTE_P_78</vt:lpstr>
      <vt:lpstr>FHD_NOTE_P_79</vt:lpstr>
      <vt:lpstr>FHD_NOTE_P_8</vt:lpstr>
      <vt:lpstr>FHD_NOTE_P_80</vt:lpstr>
      <vt:lpstr>FHD_NOTE_P_81</vt:lpstr>
      <vt:lpstr>FHD_NOTE_P_82</vt:lpstr>
      <vt:lpstr>FHD_NOTE_P_83</vt:lpstr>
      <vt:lpstr>FHD_NOTE_P_84</vt:lpstr>
      <vt:lpstr>FHD_NOTE_P_9</vt:lpstr>
      <vt:lpstr>FHD_NUM_P_1</vt:lpstr>
      <vt:lpstr>FHD_NUM_P_10</vt:lpstr>
      <vt:lpstr>FHD_NUM_P_11</vt:lpstr>
      <vt:lpstr>FHD_NUM_P_12</vt:lpstr>
      <vt:lpstr>FHD_NUM_P_13</vt:lpstr>
      <vt:lpstr>FHD_NUM_P_14</vt:lpstr>
      <vt:lpstr>FHD_NUM_P_15</vt:lpstr>
      <vt:lpstr>FHD_NUM_P_16</vt:lpstr>
      <vt:lpstr>FHD_NUM_P_17</vt:lpstr>
      <vt:lpstr>FHD_NUM_P_18</vt:lpstr>
      <vt:lpstr>FHD_NUM_P_19</vt:lpstr>
      <vt:lpstr>FHD_NUM_P_2</vt:lpstr>
      <vt:lpstr>FHD_NUM_P_20</vt:lpstr>
      <vt:lpstr>FHD_NUM_P_21</vt:lpstr>
      <vt:lpstr>FHD_NUM_P_22</vt:lpstr>
      <vt:lpstr>FHD_NUM_P_23</vt:lpstr>
      <vt:lpstr>FHD_NUM_P_24</vt:lpstr>
      <vt:lpstr>FHD_NUM_P_25</vt:lpstr>
      <vt:lpstr>FHD_NUM_P_26</vt:lpstr>
      <vt:lpstr>FHD_NUM_P_27</vt:lpstr>
      <vt:lpstr>FHD_NUM_P_28</vt:lpstr>
      <vt:lpstr>FHD_NUM_P_29</vt:lpstr>
      <vt:lpstr>FHD_NUM_P_3</vt:lpstr>
      <vt:lpstr>FHD_NUM_P_30</vt:lpstr>
      <vt:lpstr>FHD_NUM_P_31</vt:lpstr>
      <vt:lpstr>FHD_NUM_P_32</vt:lpstr>
      <vt:lpstr>FHD_NUM_P_33</vt:lpstr>
      <vt:lpstr>FHD_NUM_P_34</vt:lpstr>
      <vt:lpstr>FHD_NUM_P_35</vt:lpstr>
      <vt:lpstr>FHD_NUM_P_36</vt:lpstr>
      <vt:lpstr>FHD_NUM_P_37</vt:lpstr>
      <vt:lpstr>FHD_NUM_P_38</vt:lpstr>
      <vt:lpstr>FHD_NUM_P_39</vt:lpstr>
      <vt:lpstr>FHD_NUM_P_4</vt:lpstr>
      <vt:lpstr>FHD_NUM_P_40</vt:lpstr>
      <vt:lpstr>FHD_NUM_P_41</vt:lpstr>
      <vt:lpstr>FHD_NUM_P_42</vt:lpstr>
      <vt:lpstr>FHD_NUM_P_43</vt:lpstr>
      <vt:lpstr>FHD_NUM_P_44</vt:lpstr>
      <vt:lpstr>FHD_NUM_P_45</vt:lpstr>
      <vt:lpstr>FHD_NUM_P_46</vt:lpstr>
      <vt:lpstr>FHD_NUM_P_47</vt:lpstr>
      <vt:lpstr>FHD_NUM_P_48</vt:lpstr>
      <vt:lpstr>FHD_NUM_P_49</vt:lpstr>
      <vt:lpstr>FHD_NUM_P_5</vt:lpstr>
      <vt:lpstr>FHD_NUM_P_50</vt:lpstr>
      <vt:lpstr>FHD_NUM_P_51</vt:lpstr>
      <vt:lpstr>FHD_NUM_P_52</vt:lpstr>
      <vt:lpstr>FHD_NUM_P_53</vt:lpstr>
      <vt:lpstr>FHD_NUM_P_54</vt:lpstr>
      <vt:lpstr>FHD_NUM_P_55</vt:lpstr>
      <vt:lpstr>FHD_NUM_P_56</vt:lpstr>
      <vt:lpstr>FHD_NUM_P_57</vt:lpstr>
      <vt:lpstr>FHD_NUM_P_58</vt:lpstr>
      <vt:lpstr>FHD_NUM_P_59</vt:lpstr>
      <vt:lpstr>FHD_NUM_P_6</vt:lpstr>
      <vt:lpstr>FHD_NUM_P_60</vt:lpstr>
      <vt:lpstr>FHD_NUM_P_61</vt:lpstr>
      <vt:lpstr>FHD_NUM_P_62</vt:lpstr>
      <vt:lpstr>FHD_NUM_P_63</vt:lpstr>
      <vt:lpstr>FHD_NUM_P_64</vt:lpstr>
      <vt:lpstr>FHD_NUM_P_65</vt:lpstr>
      <vt:lpstr>FHD_NUM_P_66</vt:lpstr>
      <vt:lpstr>FHD_NUM_P_67</vt:lpstr>
      <vt:lpstr>FHD_NUM_P_68</vt:lpstr>
      <vt:lpstr>FHD_NUM_P_69</vt:lpstr>
      <vt:lpstr>FHD_NUM_P_7</vt:lpstr>
      <vt:lpstr>FHD_NUM_P_70</vt:lpstr>
      <vt:lpstr>FHD_NUM_P_71</vt:lpstr>
      <vt:lpstr>FHD_NUM_P_72</vt:lpstr>
      <vt:lpstr>FHD_NUM_P_73</vt:lpstr>
      <vt:lpstr>FHD_NUM_P_74</vt:lpstr>
      <vt:lpstr>FHD_NUM_P_75</vt:lpstr>
      <vt:lpstr>FHD_NUM_P_76</vt:lpstr>
      <vt:lpstr>FHD_NUM_P_77</vt:lpstr>
      <vt:lpstr>FHD_NUM_P_78</vt:lpstr>
      <vt:lpstr>FHD_NUM_P_79</vt:lpstr>
      <vt:lpstr>FHD_NUM_P_8</vt:lpstr>
      <vt:lpstr>FHD_NUM_P_80</vt:lpstr>
      <vt:lpstr>FHD_NUM_P_81</vt:lpstr>
      <vt:lpstr>FHD_NUM_P_82</vt:lpstr>
      <vt:lpstr>FHD_NUM_P_83</vt:lpstr>
      <vt:lpstr>FHD_NUM_P_84</vt:lpstr>
      <vt:lpstr>FHD_NUM_P_9</vt:lpstr>
      <vt:lpstr>FHD_NUM_P_A</vt:lpstr>
      <vt:lpstr>FHD_P_1</vt:lpstr>
      <vt:lpstr>FHD_P_10</vt:lpstr>
      <vt:lpstr>FHD_P_11</vt:lpstr>
      <vt:lpstr>FHD_P_12</vt:lpstr>
      <vt:lpstr>FHD_P_13</vt:lpstr>
      <vt:lpstr>FHD_P_14</vt:lpstr>
      <vt:lpstr>FHD_P_15</vt:lpstr>
      <vt:lpstr>FHD_P_16</vt:lpstr>
      <vt:lpstr>FHD_P_17</vt:lpstr>
      <vt:lpstr>FHD_P_18</vt:lpstr>
      <vt:lpstr>FHD_P_19</vt:lpstr>
      <vt:lpstr>FHD_P_2</vt:lpstr>
      <vt:lpstr>FHD_P_20</vt:lpstr>
      <vt:lpstr>FHD_P_21</vt:lpstr>
      <vt:lpstr>FHD_P_22</vt:lpstr>
      <vt:lpstr>FHD_P_23</vt:lpstr>
      <vt:lpstr>FHD_P_24</vt:lpstr>
      <vt:lpstr>FHD_P_25</vt:lpstr>
      <vt:lpstr>FHD_P_26</vt:lpstr>
      <vt:lpstr>FHD_P_27</vt:lpstr>
      <vt:lpstr>FHD_P_28</vt:lpstr>
      <vt:lpstr>FHD_P_29</vt:lpstr>
      <vt:lpstr>FHD_P_3</vt:lpstr>
      <vt:lpstr>FHD_P_30</vt:lpstr>
      <vt:lpstr>FHD_P_31</vt:lpstr>
      <vt:lpstr>FHD_P_32</vt:lpstr>
      <vt:lpstr>FHD_P_33</vt:lpstr>
      <vt:lpstr>FHD_P_34</vt:lpstr>
      <vt:lpstr>FHD_P_35</vt:lpstr>
      <vt:lpstr>FHD_P_36</vt:lpstr>
      <vt:lpstr>FHD_P_37</vt:lpstr>
      <vt:lpstr>FHD_P_38</vt:lpstr>
      <vt:lpstr>FHD_P_39</vt:lpstr>
      <vt:lpstr>FHD_P_4</vt:lpstr>
      <vt:lpstr>FHD_P_40</vt:lpstr>
      <vt:lpstr>FHD_P_41</vt:lpstr>
      <vt:lpstr>FHD_P_42</vt:lpstr>
      <vt:lpstr>FHD_P_43</vt:lpstr>
      <vt:lpstr>FHD_P_44</vt:lpstr>
      <vt:lpstr>FHD_P_45</vt:lpstr>
      <vt:lpstr>FHD_P_46</vt:lpstr>
      <vt:lpstr>FHD_P_47</vt:lpstr>
      <vt:lpstr>FHD_P_48</vt:lpstr>
      <vt:lpstr>FHD_P_49</vt:lpstr>
      <vt:lpstr>FHD_P_5</vt:lpstr>
      <vt:lpstr>FHD_P_50</vt:lpstr>
      <vt:lpstr>FHD_P_51</vt:lpstr>
      <vt:lpstr>FHD_P_52</vt:lpstr>
      <vt:lpstr>FHD_P_53</vt:lpstr>
      <vt:lpstr>FHD_P_54</vt:lpstr>
      <vt:lpstr>FHD_P_55</vt:lpstr>
      <vt:lpstr>FHD_P_56</vt:lpstr>
      <vt:lpstr>FHD_P_57</vt:lpstr>
      <vt:lpstr>FHD_P_58</vt:lpstr>
      <vt:lpstr>FHD_P_59</vt:lpstr>
      <vt:lpstr>FHD_P_6</vt:lpstr>
      <vt:lpstr>FHD_P_60</vt:lpstr>
      <vt:lpstr>FHD_P_61</vt:lpstr>
      <vt:lpstr>FHD_P_62</vt:lpstr>
      <vt:lpstr>FHD_P_63</vt:lpstr>
      <vt:lpstr>FHD_P_64</vt:lpstr>
      <vt:lpstr>FHD_P_65</vt:lpstr>
      <vt:lpstr>FHD_P_66</vt:lpstr>
      <vt:lpstr>FHD_P_67</vt:lpstr>
      <vt:lpstr>FHD_P_68</vt:lpstr>
      <vt:lpstr>FHD_P_69</vt:lpstr>
      <vt:lpstr>FHD_P_7</vt:lpstr>
      <vt:lpstr>FHD_P_70</vt:lpstr>
      <vt:lpstr>FHD_P_71</vt:lpstr>
      <vt:lpstr>FHD_P_72</vt:lpstr>
      <vt:lpstr>FHD_P_73</vt:lpstr>
      <vt:lpstr>FHD_P_74</vt:lpstr>
      <vt:lpstr>FHD_P_75</vt:lpstr>
      <vt:lpstr>FHD_P_76</vt:lpstr>
      <vt:lpstr>FHD_P_77</vt:lpstr>
      <vt:lpstr>FHD_P_78</vt:lpstr>
      <vt:lpstr>FHD_P_79</vt:lpstr>
      <vt:lpstr>FHD_P_8</vt:lpstr>
      <vt:lpstr>FHD_P_80</vt:lpstr>
      <vt:lpstr>FHD_P_81</vt:lpstr>
      <vt:lpstr>FHD_P_82</vt:lpstr>
      <vt:lpstr>FHD_P_83</vt:lpstr>
      <vt:lpstr>FHD_P_84</vt:lpstr>
      <vt:lpstr>FHD_P_9</vt:lpstr>
      <vt:lpstr>FHD_P_A</vt:lpstr>
      <vt:lpstr>FHD20_NAME_FORM</vt:lpstr>
      <vt:lpstr>fil</vt:lpstr>
      <vt:lpstr>HEAT_FIN_SRC_LIST</vt:lpstr>
      <vt:lpstr>HEAT_FIN_SRC_VLD_LIST</vt:lpstr>
      <vt:lpstr>HEAT_IP_EVENT_CI_STAGE_LIST</vt:lpstr>
      <vt:lpstr>HEAT_IP_EVENT_GROUP_LIST</vt:lpstr>
      <vt:lpstr>HEAT_IP_EVENT_SUBGROUP_1_LIST</vt:lpstr>
      <vt:lpstr>HEAT_IP_EVENT_SUBGROUP_3_LIST</vt:lpstr>
      <vt:lpstr>HEAT_IP_EVENT_SUBGROUP_5_LIST</vt:lpstr>
      <vt:lpstr>HEAT_IP_EVENT_TYPE_LIST</vt:lpstr>
      <vt:lpstr>HEAT_PT_SCHEME</vt:lpstr>
      <vt:lpstr>HEAT_PT_TARIFF_ID</vt:lpstr>
      <vt:lpstr>HEAT_PT_TARIFF_NAME</vt:lpstr>
      <vt:lpstr>HEAT_PT_TARIFF_NAME_LIST</vt:lpstr>
      <vt:lpstr>HEAT_PT_VED_ID</vt:lpstr>
      <vt:lpstr>HEAT_PT_VED_NAME</vt:lpstr>
      <vt:lpstr>HEAT_PT_VED_NAME_LIST</vt:lpstr>
      <vt:lpstr>HEAT_TARIFF_A_ADD_HL_COLUMN_MARKER</vt:lpstr>
      <vt:lpstr>HEAT_TARIFF_A_DEL_HL_GC_COLUMN_MARKER</vt:lpstr>
      <vt:lpstr>HEAT_TARIFF_A_DEL_HL_SCHEME_COLUMN_MARKER</vt:lpstr>
      <vt:lpstr>HEAT_TARIFF_A_DEL_HL_TN_COLUMN_MARKER</vt:lpstr>
      <vt:lpstr>HEAT_TARIFF_A_DELETE_PERIOD_ROW_MARKER</vt:lpstr>
      <vt:lpstr>HEAT_TARIFF_A_FLAG_BLOCK_COLUMN_MARKER</vt:lpstr>
      <vt:lpstr>HEAT_TARIFF_A_FLAG_BLOCK_ROW_MARKER</vt:lpstr>
      <vt:lpstr>HEAT_TARIFF_A_NUM_CS_COLUMN_MARKER</vt:lpstr>
      <vt:lpstr>HEAT_TARIFF_A_NUM_GC_COLUMN_MARKER</vt:lpstr>
      <vt:lpstr>HEAT_TARIFF_A_NUM_IST_TE_COLUMN_MARKER</vt:lpstr>
      <vt:lpstr>HEAT_TARIFF_A_NUM_NTAR_COLUMN_MARKER</vt:lpstr>
      <vt:lpstr>HEAT_TARIFF_A_NUM_SCHEME_COLUMN_MARKER</vt:lpstr>
      <vt:lpstr>HEAT_TARIFF_A_NUM_TER_COLUMN_MARKER</vt:lpstr>
      <vt:lpstr>HEAT_TARIFF_A_NUM_TN_COLUMN_MARKER</vt:lpstr>
      <vt:lpstr>HEAT_TARIFF_B_ADD_HL_COLUMN_MARKER</vt:lpstr>
      <vt:lpstr>HEAT_TARIFF_B_DEL_HL_GC_COLUMN_MARKER</vt:lpstr>
      <vt:lpstr>HEAT_TARIFF_B_DEL_HL_SCHEME_COLUMN_MARKER</vt:lpstr>
      <vt:lpstr>HEAT_TARIFF_B_DEL_HL_TN_COLUMN_MARKER</vt:lpstr>
      <vt:lpstr>HEAT_TARIFF_B_DELETE_PERIOD_ROW_MARKER</vt:lpstr>
      <vt:lpstr>HEAT_TARIFF_B_FLAG_BLOCK_COLUMN_MARKER</vt:lpstr>
      <vt:lpstr>HEAT_TARIFF_B_FLAG_BLOCK_ROW_MARKER</vt:lpstr>
      <vt:lpstr>HEAT_TARIFF_B_NUM_CS_COLUMN_MARKER</vt:lpstr>
      <vt:lpstr>HEAT_TARIFF_B_NUM_GC_COLUMN_MARKER</vt:lpstr>
      <vt:lpstr>HEAT_TARIFF_B_NUM_IST_TE_COLUMN_MARKER</vt:lpstr>
      <vt:lpstr>HEAT_TARIFF_B_NUM_NTAR_COLUMN_MARKER</vt:lpstr>
      <vt:lpstr>HEAT_TARIFF_B_NUM_SCHEME_COLUMN_MARKER</vt:lpstr>
      <vt:lpstr>HEAT_TARIFF_B_NUM_TER_COLUMN_MARKER</vt:lpstr>
      <vt:lpstr>HEAT_TARIFF_B_NUM_TN_COLUMN_MARKER</vt:lpstr>
      <vt:lpstr>HEAT_TARIFF_C_ADD_HL_COLUMN_MARKER</vt:lpstr>
      <vt:lpstr>HEAT_TARIFF_C_DEL_HL_GC_COLUMN_MARKER</vt:lpstr>
      <vt:lpstr>HEAT_TARIFF_C_DEL_HL_SCHEME_COLUMN_MARKER</vt:lpstr>
      <vt:lpstr>HEAT_TARIFF_C_DEL_HL_TN_COLUMN_MARKER</vt:lpstr>
      <vt:lpstr>HEAT_TARIFF_C_DELETE_PERIOD_ROW_MARKER</vt:lpstr>
      <vt:lpstr>HEAT_TARIFF_C_FLAG_BLOCK_COLUMN_MARKER</vt:lpstr>
      <vt:lpstr>HEAT_TARIFF_C_FLAG_BLOCK_ROW_MARKER</vt:lpstr>
      <vt:lpstr>HEAT_TARIFF_C_NUM_CS_COLUMN_MARKER</vt:lpstr>
      <vt:lpstr>HEAT_TARIFF_C_NUM_GC_COLUMN_MARKER</vt:lpstr>
      <vt:lpstr>HEAT_TARIFF_C_NUM_IST_TE_COLUMN_MARKER</vt:lpstr>
      <vt:lpstr>HEAT_TARIFF_C_NUM_NTAR_COLUMN_MARKER</vt:lpstr>
      <vt:lpstr>HEAT_TARIFF_C_NUM_SCHEME_COLUMN_MARKER</vt:lpstr>
      <vt:lpstr>HEAT_TARIFF_C_NUM_TER_COLUMN_MARKER</vt:lpstr>
      <vt:lpstr>HEAT_TARIFF_C_NUM_TN_COLUMN_MARKER</vt:lpstr>
      <vt:lpstr>HEAT_TARIFF_D_ADD_HL_COLUMN_MARKER</vt:lpstr>
      <vt:lpstr>HEAT_TARIFF_D_DEL_HL_CONS_COLUMN_MARKER</vt:lpstr>
      <vt:lpstr>HEAT_TARIFF_D_DEL_HL_GC_COLUMN_MARKER</vt:lpstr>
      <vt:lpstr>HEAT_TARIFF_D_DEL_HL_SCHEME_COLUMN_MARKER</vt:lpstr>
      <vt:lpstr>HEAT_TARIFF_D_DEL_HL_TN_COLUMN_MARKER</vt:lpstr>
      <vt:lpstr>HEAT_TARIFF_D_DELETE_PERIOD_ROW_MARKER</vt:lpstr>
      <vt:lpstr>HEAT_TARIFF_D_FLAG_BLOCK_COLUMN_MARKER</vt:lpstr>
      <vt:lpstr>HEAT_TARIFF_D_FLAG_BLOCK_ROW_MARKER</vt:lpstr>
      <vt:lpstr>HEAT_TARIFF_D_NUM_CONS_COLUMN_MARKER</vt:lpstr>
      <vt:lpstr>HEAT_TARIFF_D_NUM_CS_COLUMN_MARKER</vt:lpstr>
      <vt:lpstr>HEAT_TARIFF_D_NUM_GC_COLUMN_MARKER</vt:lpstr>
      <vt:lpstr>HEAT_TARIFF_D_NUM_IST_TE_COLUMN_MARKER</vt:lpstr>
      <vt:lpstr>HEAT_TARIFF_D_NUM_NTAR_COLUMN_MARKER</vt:lpstr>
      <vt:lpstr>HEAT_TARIFF_D_NUM_SCHEME_COLUMN_MARKER</vt:lpstr>
      <vt:lpstr>HEAT_TARIFF_D_NUM_TER_COLUMN_MARKER</vt:lpstr>
      <vt:lpstr>HEAT_TARIFF_D_NUM_TN_COLUMN_MARKER</vt:lpstr>
      <vt:lpstr>HEAT_TARIFF_E1_ADD_HL_COLUMN_MARKER</vt:lpstr>
      <vt:lpstr>HEAT_TARIFF_E1_DEL_HL_GC_COLUMN_MARKER</vt:lpstr>
      <vt:lpstr>HEAT_TARIFF_E1_DEL_HL_SCHEME_COLUMN_MARKER</vt:lpstr>
      <vt:lpstr>HEAT_TARIFF_E1_DEL_HL_TN_COLUMN_MARKER</vt:lpstr>
      <vt:lpstr>HEAT_TARIFF_E1_DELETE_PERIOD_ROW_MARKER</vt:lpstr>
      <vt:lpstr>HEAT_TARIFF_E1_FLAG_BLOCK_COLUMN_MARKER</vt:lpstr>
      <vt:lpstr>HEAT_TARIFF_E1_FLAG_BLOCK_ROW_MARKER</vt:lpstr>
      <vt:lpstr>HEAT_TARIFF_E1_NUM_CS_COLUMN_MARKER</vt:lpstr>
      <vt:lpstr>HEAT_TARIFF_E1_NUM_GC_COLUMN_MARKER</vt:lpstr>
      <vt:lpstr>HEAT_TARIFF_E1_NUM_IST_TE_COLUMN_MARKER</vt:lpstr>
      <vt:lpstr>HEAT_TARIFF_E1_NUM_NTAR_COLUMN_MARKER</vt:lpstr>
      <vt:lpstr>HEAT_TARIFF_E1_NUM_SCHEME_COLUMN_MARKER</vt:lpstr>
      <vt:lpstr>HEAT_TARIFF_E1_NUM_TER_COLUMN_MARKER</vt:lpstr>
      <vt:lpstr>HEAT_TARIFF_E1_NUM_TN_COLUMN_MARKER</vt:lpstr>
      <vt:lpstr>HEAT_TARIFF_E2_ADD_HL_COLUMN_MARKER</vt:lpstr>
      <vt:lpstr>HEAT_TARIFF_E2_DEL_HL_GC_COLUMN_MARKER</vt:lpstr>
      <vt:lpstr>HEAT_TARIFF_E2_DEL_HL_SCHEME_COLUMN_MARKER</vt:lpstr>
      <vt:lpstr>HEAT_TARIFF_E2_DEL_HL_TN_COLUMN_MARKER</vt:lpstr>
      <vt:lpstr>HEAT_TARIFF_E2_DELETE_PERIOD_ROW_MARKER</vt:lpstr>
      <vt:lpstr>HEAT_TARIFF_E2_FLAG_BLOCK_COLUMN_MARKER</vt:lpstr>
      <vt:lpstr>HEAT_TARIFF_E2_FLAG_BLOCK_ROW_MARKER</vt:lpstr>
      <vt:lpstr>HEAT_TARIFF_E2_NUM_CS_COLUMN_MARKER</vt:lpstr>
      <vt:lpstr>HEAT_TARIFF_E2_NUM_GC_COLUMN_MARKER</vt:lpstr>
      <vt:lpstr>HEAT_TARIFF_E2_NUM_IST_TE_COLUMN_MARKER</vt:lpstr>
      <vt:lpstr>HEAT_TARIFF_E2_NUM_NTAR_COLUMN_MARKER</vt:lpstr>
      <vt:lpstr>HEAT_TARIFF_E2_NUM_SCHEME_COLUMN_MARKER</vt:lpstr>
      <vt:lpstr>HEAT_TARIFF_E2_NUM_TER_COLUMN_MARKER</vt:lpstr>
      <vt:lpstr>HEAT_TARIFF_E2_NUM_TN_COLUMN_MARKER</vt:lpstr>
      <vt:lpstr>HEAT_TARIFF_F_ADD_HL_COLUMN_MARKER</vt:lpstr>
      <vt:lpstr>HEAT_TARIFF_F_DEL_HL_GC_COLUMN_MARKER</vt:lpstr>
      <vt:lpstr>HEAT_TARIFF_F_DEL_HL_SCHEME_COLUMN_MARKER</vt:lpstr>
      <vt:lpstr>HEAT_TARIFF_F_DEL_HL_TN_COLUMN_MARKER</vt:lpstr>
      <vt:lpstr>HEAT_TARIFF_F_DELETE_PERIOD_ROW_MARKER</vt:lpstr>
      <vt:lpstr>HEAT_TARIFF_F_FLAG_BLOCK_COLUMN_MARKER</vt:lpstr>
      <vt:lpstr>HEAT_TARIFF_F_FLAG_BLOCK_ROW_MARKER</vt:lpstr>
      <vt:lpstr>HEAT_TARIFF_F_NUM_CS_COLUMN_MARKER</vt:lpstr>
      <vt:lpstr>HEAT_TARIFF_F_NUM_GC_COLUMN_MARKER</vt:lpstr>
      <vt:lpstr>HEAT_TARIFF_F_NUM_IST_TE_COLUMN_MARKER</vt:lpstr>
      <vt:lpstr>HEAT_TARIFF_F_NUM_NTAR_COLUMN_MARKER</vt:lpstr>
      <vt:lpstr>HEAT_TARIFF_F_NUM_SCHEME_COLUMN_MARKER</vt:lpstr>
      <vt:lpstr>HEAT_TARIFF_F_NUM_TER_COLUMN_MARKER</vt:lpstr>
      <vt:lpstr>HEAT_TARIFF_F_NUM_TN_COLUMN_MARKER</vt:lpstr>
      <vt:lpstr>HEAT_TARIFF_G_ADD_HL_COLUMN_MARKER</vt:lpstr>
      <vt:lpstr>HEAT_TARIFF_G_ADD_HL_DIAMETERS_COLUMN_MARKER</vt:lpstr>
      <vt:lpstr>HEAT_TARIFF_G_ADD_HL_LOAD_COLUMN_MARKER</vt:lpstr>
      <vt:lpstr>HEAT_TARIFF_G_ADD_HL_NETS_COLUMN_MARKER</vt:lpstr>
      <vt:lpstr>HEAT_TARIFF_G_DEL_HL_DIAMETERS_COLUMN_MARKER</vt:lpstr>
      <vt:lpstr>HEAT_TARIFF_G_DEL_HL_GC_COLUMN_MARKER</vt:lpstr>
      <vt:lpstr>HEAT_TARIFF_G_DEL_HL_LOAD_COLUMN_MARKER</vt:lpstr>
      <vt:lpstr>HEAT_TARIFF_G_DEL_HL_NETS_COLUMN_MARKER</vt:lpstr>
      <vt:lpstr>HEAT_TARIFF_G_DEL_HL_SCHEME_COLUMN_MARKER</vt:lpstr>
      <vt:lpstr>HEAT_TARIFF_G_DEL_HL_TN_COLUMN_MARKER</vt:lpstr>
      <vt:lpstr>HEAT_TARIFF_G_DELETE_PERIOD_ROW_MARKER</vt:lpstr>
      <vt:lpstr>HEAT_TARIFF_G_FLAG_BLOCK_COLUMN_MARKER</vt:lpstr>
      <vt:lpstr>HEAT_TARIFF_G_FLAG_BLOCK_ROW_MARKER</vt:lpstr>
      <vt:lpstr>HEAT_TARIFF_G_NUM_CS_COLUMN_MARKER</vt:lpstr>
      <vt:lpstr>HEAT_TARIFF_G_NUM_DIAMETERS_COLUMN_MARKER</vt:lpstr>
      <vt:lpstr>HEAT_TARIFF_G_NUM_GC_COLUMN_MARKER</vt:lpstr>
      <vt:lpstr>HEAT_TARIFF_G_NUM_IST_TE_COLUMN_MARKER</vt:lpstr>
      <vt:lpstr>HEAT_TARIFF_G_NUM_LOAD_COLUMN_MARKER</vt:lpstr>
      <vt:lpstr>HEAT_TARIFF_G_NUM_NETS_COLUMN_MARKER</vt:lpstr>
      <vt:lpstr>HEAT_TARIFF_G_NUM_NTAR_COLUMN_MARKER</vt:lpstr>
      <vt:lpstr>HEAT_TARIFF_G_NUM_SCHEME_COLUMN_MARKER</vt:lpstr>
      <vt:lpstr>HEAT_TARIFF_G_NUM_TER_COLUMN_MARKER</vt:lpstr>
      <vt:lpstr>HEAT_TARIFF_G_NUM_TN_COLUMN_MARKER</vt:lpstr>
      <vt:lpstr>HOTVSNA_FIN_SRC_LIST</vt:lpstr>
      <vt:lpstr>HOTVSNA_FIN_SRC_VLD_LIST</vt:lpstr>
      <vt:lpstr>HOTVSNA_IP_EVENT_CI_STAGE_LIST</vt:lpstr>
      <vt:lpstr>HOTVSNA_IP_EVENT_GROUP_LIST</vt:lpstr>
      <vt:lpstr>HOTVSNA_IP_EVENT_SUBGROUP_1_LIST</vt:lpstr>
      <vt:lpstr>HOTVSNA_IP_EVENT_SUBGROUP_3_LIST</vt:lpstr>
      <vt:lpstr>HOTVSNA_IP_EVENT_SUBGROUP_5_LIST</vt:lpstr>
      <vt:lpstr>HOTVSNA_IP_EVENT_TYPE_LIST</vt:lpstr>
      <vt:lpstr>HOTVSNA_PT_VED_ID</vt:lpstr>
      <vt:lpstr>HOTVSNA_PT_VED_NAME</vt:lpstr>
      <vt:lpstr>HOTVSNA_PT_VED_NAME_LIST</vt:lpstr>
      <vt:lpstr>HOTVSNA_TARIFF_A_HOTVSNA_ADD_HL_COLUMN_MARKER</vt:lpstr>
      <vt:lpstr>HOTVSNA_TARIFF_A_HOTVSNA_DEL_HL_DATA_DIFF_COLUMN_MARKER</vt:lpstr>
      <vt:lpstr>HOTVSNA_TARIFF_A_HOTVSNA_DEL_HL_FLAG_DIFF_COLUMN_MARKER</vt:lpstr>
      <vt:lpstr>HOTVSNA_TARIFF_A_HOTVSNA_DEL_HL_GC_COLUMN_MARKER</vt:lpstr>
      <vt:lpstr>HOTVSNA_TARIFF_A_HOTVSNA_DELETE_PERIOD_ROW_MARKER</vt:lpstr>
      <vt:lpstr>HOTVSNA_TARIFF_A_HOTVSNA_FLAG_BLOCK_COLUMN_MARKER</vt:lpstr>
      <vt:lpstr>HOTVSNA_TARIFF_A_HOTVSNA_FLAG_BLOCK_ROW_MARKER</vt:lpstr>
      <vt:lpstr>HOTVSNA_TARIFF_A_HOTVSNA_NUM_CS_COLUMN_MARKER</vt:lpstr>
      <vt:lpstr>HOTVSNA_TARIFF_A_HOTVSNA_NUM_DATA_DIFF_COLUMN_MARKER</vt:lpstr>
      <vt:lpstr>HOTVSNA_TARIFF_A_HOTVSNA_NUM_FLAG_DIFF_COLUMN_MARKER</vt:lpstr>
      <vt:lpstr>HOTVSNA_TARIFF_A_HOTVSNA_NUM_GC_COLUMN_MARKER</vt:lpstr>
      <vt:lpstr>HOTVSNA_TARIFF_A_HOTVSNA_NUM_NTAR_COLUMN_MARKER</vt:lpstr>
      <vt:lpstr>HOTVSNA_TARIFF_A_HOTVSNA_NUM_TER_COLUMN_MARKER</vt:lpstr>
      <vt:lpstr>HOTVSNA_TARIFF_B_HOTVSNA_ADD_HL_COLUMN_MARKER</vt:lpstr>
      <vt:lpstr>HOTVSNA_TARIFF_B_HOTVSNA_DEL_HL_DATA_DIFF_COLUMN_MARKER</vt:lpstr>
      <vt:lpstr>HOTVSNA_TARIFF_B_HOTVSNA_DEL_HL_FLAG_DIFF_COLUMN_MARKER</vt:lpstr>
      <vt:lpstr>HOTVSNA_TARIFF_B_HOTVSNA_DEL_HL_GC_COLUMN_MARKER</vt:lpstr>
      <vt:lpstr>HOTVSNA_TARIFF_B_HOTVSNA_DELETE_PERIOD_ROW_MARKER</vt:lpstr>
      <vt:lpstr>HOTVSNA_TARIFF_B_HOTVSNA_FLAG_BLOCK_COLUMN_MARKER</vt:lpstr>
      <vt:lpstr>HOTVSNA_TARIFF_B_HOTVSNA_FLAG_BLOCK_ROW_MARKER</vt:lpstr>
      <vt:lpstr>HOTVSNA_TARIFF_B_HOTVSNA_NUM_CS_COLUMN_MARKER</vt:lpstr>
      <vt:lpstr>HOTVSNA_TARIFF_B_HOTVSNA_NUM_DATA_DIFF_COLUMN_MARKER</vt:lpstr>
      <vt:lpstr>HOTVSNA_TARIFF_B_HOTVSNA_NUM_FLAG_DIFF_COLUMN_MARKER</vt:lpstr>
      <vt:lpstr>HOTVSNA_TARIFF_B_HOTVSNA_NUM_GC_COLUMN_MARKER</vt:lpstr>
      <vt:lpstr>HOTVSNA_TARIFF_B_HOTVSNA_NUM_NTAR_COLUMN_MARKER</vt:lpstr>
      <vt:lpstr>HOTVSNA_TARIFF_B_HOTVSNA_NUM_TER_COLUMN_MARKER</vt:lpstr>
      <vt:lpstr>HOTVSNA_TARIFF_C_HOTVSNA_ADD_HL_COLUMN_MARKER</vt:lpstr>
      <vt:lpstr>HOTVSNA_TARIFF_C_HOTVSNA_ADD_HL_DIAMETERS_COLUMN_MARKER</vt:lpstr>
      <vt:lpstr>HOTVSNA_TARIFF_C_HOTVSNA_ADD_HL_LEN_COLUMN_MARKER</vt:lpstr>
      <vt:lpstr>HOTVSNA_TARIFF_C_HOTVSNA_ADD_HL_LOAD_COLUMN_MARKER</vt:lpstr>
      <vt:lpstr>HOTVSNA_TARIFF_C_HOTVSNA_ADD_HL_NETS_COLUMN_MARKER</vt:lpstr>
      <vt:lpstr>HOTVSNA_TARIFF_C_HOTVSNA_DEL_HL_DATA_DIFF_COLUMN_MARKER</vt:lpstr>
      <vt:lpstr>HOTVSNA_TARIFF_C_HOTVSNA_DEL_HL_DIAMETERS_COLUMN_MARKER</vt:lpstr>
      <vt:lpstr>HOTVSNA_TARIFF_C_HOTVSNA_DEL_HL_FLAG_DIFF_COLUMN_MARKER</vt:lpstr>
      <vt:lpstr>HOTVSNA_TARIFF_C_HOTVSNA_DEL_HL_GC_COLUMN_MARKER</vt:lpstr>
      <vt:lpstr>HOTVSNA_TARIFF_C_HOTVSNA_DEL_HL_LEN_COLUMN_MARKER</vt:lpstr>
      <vt:lpstr>HOTVSNA_TARIFF_C_HOTVSNA_DEL_HL_LOAD_COLUMN_MARKER</vt:lpstr>
      <vt:lpstr>HOTVSNA_TARIFF_C_HOTVSNA_DEL_HL_NETS_COLUMN_MARKER</vt:lpstr>
      <vt:lpstr>HOTVSNA_TARIFF_C_HOTVSNA_DELETE_PERIOD_ROW_MARKER</vt:lpstr>
      <vt:lpstr>HOTVSNA_TARIFF_C_HOTVSNA_FLAG_BLOCK_COLUMN_MARKER</vt:lpstr>
      <vt:lpstr>HOTVSNA_TARIFF_C_HOTVSNA_FLAG_BLOCK_ROW_MARKER</vt:lpstr>
      <vt:lpstr>HOTVSNA_TARIFF_C_HOTVSNA_NUM_CS_COLUMN_MARKER</vt:lpstr>
      <vt:lpstr>HOTVSNA_TARIFF_C_HOTVSNA_NUM_DATA_DIFF_COLUMN_MARKER</vt:lpstr>
      <vt:lpstr>HOTVSNA_TARIFF_C_HOTVSNA_NUM_DIAMETERS_COLUMN_MARKER</vt:lpstr>
      <vt:lpstr>HOTVSNA_TARIFF_C_HOTVSNA_NUM_FLAG_DIFF_COLUMN_MARKER</vt:lpstr>
      <vt:lpstr>HOTVSNA_TARIFF_C_HOTVSNA_NUM_GC_COLUMN_MARKER</vt:lpstr>
      <vt:lpstr>HOTVSNA_TARIFF_C_HOTVSNA_NUM_LEN_COLUMN_MARKER</vt:lpstr>
      <vt:lpstr>HOTVSNA_TARIFF_C_HOTVSNA_NUM_LOAD_COLUMN_MARKER</vt:lpstr>
      <vt:lpstr>HOTVSNA_TARIFF_C_HOTVSNA_NUM_NETS_COLUMN_MARKER</vt:lpstr>
      <vt:lpstr>HOTVSNA_TARIFF_C_HOTVSNA_NUM_NTAR_COLUMN_MARKER</vt:lpstr>
      <vt:lpstr>HOTVSNA_TARIFF_C_HOTVSNA_NUM_TER_COLUMN_MARKER</vt:lpstr>
      <vt:lpstr>Info_Diff</vt:lpstr>
      <vt:lpstr>Info_Diff1</vt:lpstr>
      <vt:lpstr>Info_FilFlag</vt:lpstr>
      <vt:lpstr>Info_ForMOInListMO</vt:lpstr>
      <vt:lpstr>Info_ForMRInListMO</vt:lpstr>
      <vt:lpstr>Info_ForSKIInListMO</vt:lpstr>
      <vt:lpstr>Info_ForSKINumberInListMO</vt:lpstr>
      <vt:lpstr>Info_NoteStandarts</vt:lpstr>
      <vt:lpstr>Info_NoUpdates</vt:lpstr>
      <vt:lpstr>Info_PeriodInTitle</vt:lpstr>
      <vt:lpstr>Info_PrDiff</vt:lpstr>
      <vt:lpstr>Info_PublicationNotDisclosed</vt:lpstr>
      <vt:lpstr>Info_PublicationPdf</vt:lpstr>
      <vt:lpstr>Info_PublicationWeb</vt:lpstr>
      <vt:lpstr>Info_T_Podkl</vt:lpstr>
      <vt:lpstr>Info_TarName</vt:lpstr>
      <vt:lpstr>Info_TerExcludeHelp_1</vt:lpstr>
      <vt:lpstr>Info_TerExcludeHelp_2</vt:lpstr>
      <vt:lpstr>Info_TitleFil</vt:lpstr>
      <vt:lpstr>Info_TitleFlagCrossSubsidization</vt:lpstr>
      <vt:lpstr>Info_TitleFlagIstPubl</vt:lpstr>
      <vt:lpstr>Info_TitleFlagTwoPartTariff</vt:lpstr>
      <vt:lpstr>Info_TitleGroupRates</vt:lpstr>
      <vt:lpstr>Info_TitleKindPublication</vt:lpstr>
      <vt:lpstr>Info_TitleKindsOfGoods</vt:lpstr>
      <vt:lpstr>Info_TitlePublication</vt:lpstr>
      <vt:lpstr>Info_TitleType</vt:lpstr>
      <vt:lpstr>inn</vt:lpstr>
      <vt:lpstr>IP_CLAIM_LIST</vt:lpstr>
      <vt:lpstr>IP_DETAILED_ADD_HL_EVENT_COLUMN_MARKER</vt:lpstr>
      <vt:lpstr>IP_DETAILED_ADD_HL_IST_FIN_COLUMN_MARKER</vt:lpstr>
      <vt:lpstr>IP_DETAILED_ADD_HL_OBJECT_COLUMN_MARKER</vt:lpstr>
      <vt:lpstr>IP_DETAILED_DATA_KS</vt:lpstr>
      <vt:lpstr>IP_DETAILED_EVENT_MARKER</vt:lpstr>
      <vt:lpstr>IP_DETAILED_EVENT_SUBGROUP_COLUMN_MARKER</vt:lpstr>
      <vt:lpstr>IP_DETAILED_EVENT_SUBGROUP_RANGE_COLUMN_MARKER</vt:lpstr>
      <vt:lpstr>IP_DETAILED_FLAG_KS</vt:lpstr>
      <vt:lpstr>IP_DETAILED_FLAG_OBJECT</vt:lpstr>
      <vt:lpstr>IP_DETAILED_GROUP_MARKER</vt:lpstr>
      <vt:lpstr>IP_DETAILED_IST_FIN_FACT_COLUMN_MARKER</vt:lpstr>
      <vt:lpstr>IP_DETAILED_LIST_IP_ID</vt:lpstr>
      <vt:lpstr>IP_DETAILED_MONTH_FACT_COLUMN_MARKER</vt:lpstr>
      <vt:lpstr>IP_DETAILED_MONTH_PLAN_COLUMN_MARKER</vt:lpstr>
      <vt:lpstr>IP_DETAILED_NAME_EVENT_COLUMN_MARKER</vt:lpstr>
      <vt:lpstr>IP_DETAILED_YEAR_FACT_COLUMN_MARKER</vt:lpstr>
      <vt:lpstr>IP_DETAILED_YEAR_PLAN_COLUMN_MARKER</vt:lpstr>
      <vt:lpstr>IP_FIN_PLAN_LIST_ID_MARKER_ROW</vt:lpstr>
      <vt:lpstr>IP_FIN_PLAN_NAME_IP_MARKER_ROW</vt:lpstr>
      <vt:lpstr>IP_FIN_PLAN_YEAR_MARKER_ROW</vt:lpstr>
      <vt:lpstr>IP_ID</vt:lpstr>
      <vt:lpstr>IP_MAIN_ADD_HL_PROPERTY_COLUMN_MARKER</vt:lpstr>
      <vt:lpstr>IP_MAIN_APPROVAL_DATE</vt:lpstr>
      <vt:lpstr>IP_MAIN_CHANGE_DATE</vt:lpstr>
      <vt:lpstr>IP_MAIN_CLAIM</vt:lpstr>
      <vt:lpstr>IP_MAIN_DATE_PARKING</vt:lpstr>
      <vt:lpstr>IP_MAIN_DELETE_HL_COLUMN_MARKER</vt:lpstr>
      <vt:lpstr>IP_MAIN_DIFFERENTIATION_EVENTS_FLAG</vt:lpstr>
      <vt:lpstr>IP_MAIN_END_DATE</vt:lpstr>
      <vt:lpstr>IP_MAIN_FLAG_KS</vt:lpstr>
      <vt:lpstr>IP_MAIN_FLAG_KS_COLUMN_MARKER</vt:lpstr>
      <vt:lpstr>IP_MAIN_IP_FIN_PLAN_VISIBLE_FLAG</vt:lpstr>
      <vt:lpstr>IP_MAIN_LIST_IP_ID</vt:lpstr>
      <vt:lpstr>IP_MAIN_LIST_NAME_IP</vt:lpstr>
      <vt:lpstr>IP_MAIN_PERIOD_REALIZ_DATE</vt:lpstr>
      <vt:lpstr>IP_MAIN_PR_IP_CHANGE_DATE</vt:lpstr>
      <vt:lpstr>IP_MAIN_PR_IP_DATE</vt:lpstr>
      <vt:lpstr>IP_MAIN_START_DATE</vt:lpstr>
      <vt:lpstr>IP_QRE_ADD_HL_CLAIM_COLUMN_MARKER</vt:lpstr>
      <vt:lpstr>IP_QRE_ADD_HL_COLUMN_MARKER</vt:lpstr>
      <vt:lpstr>IP_QRE_DELETE_HL_COLUMN_MARKER</vt:lpstr>
      <vt:lpstr>IP_QRE_LIST_IP_ID</vt:lpstr>
      <vt:lpstr>IP_QRE_NUM_COLUMN_MARKER</vt:lpstr>
      <vt:lpstr>IP_QRE_OTKO_FEATURES_BLOCK</vt:lpstr>
      <vt:lpstr>IP_QRE_VOTV_FEATURES_BLOCK</vt:lpstr>
      <vt:lpstr>IP_QRE_VSNA_FEATURES_BLOCK</vt:lpstr>
      <vt:lpstr>IP_QRE_WARM_FEATURES_BLOCK</vt:lpstr>
      <vt:lpstr>IST_TE_ID</vt:lpstr>
      <vt:lpstr>kind_group_rates</vt:lpstr>
      <vt:lpstr>kind_group_rates_load</vt:lpstr>
      <vt:lpstr>kind_group_rates_load_ETS</vt:lpstr>
      <vt:lpstr>kind_group_rates_load_filter</vt:lpstr>
      <vt:lpstr>kind_group_rates_load_filter_ETS</vt:lpstr>
      <vt:lpstr>kind_of_activity_WARM</vt:lpstr>
      <vt:lpstr>kind_of_cons</vt:lpstr>
      <vt:lpstr>kind_of_control_method</vt:lpstr>
      <vt:lpstr>kind_of_control_method_filter</vt:lpstr>
      <vt:lpstr>kind_of_data_type</vt:lpstr>
      <vt:lpstr>kind_of_diameters</vt:lpstr>
      <vt:lpstr>kind_of_diameters2</vt:lpstr>
      <vt:lpstr>kind_of_diff</vt:lpstr>
      <vt:lpstr>kind_of_fuel</vt:lpstr>
      <vt:lpstr>kind_of_fuels</vt:lpstr>
      <vt:lpstr>kind_of_heat_transfer</vt:lpstr>
      <vt:lpstr>kind_of_heat_transfer2</vt:lpstr>
      <vt:lpstr>kind_of_heat_transfer3</vt:lpstr>
      <vt:lpstr>kind_of_load</vt:lpstr>
      <vt:lpstr>kind_of_load2</vt:lpstr>
      <vt:lpstr>kind_of_load3</vt:lpstr>
      <vt:lpstr>kind_of_load4</vt:lpstr>
      <vt:lpstr>kind_of_NDS</vt:lpstr>
      <vt:lpstr>kind_of_NDS_tariff</vt:lpstr>
      <vt:lpstr>kind_of_NDS_tariff_people</vt:lpstr>
      <vt:lpstr>kind_of_nets</vt:lpstr>
      <vt:lpstr>kind_of_org_type</vt:lpstr>
      <vt:lpstr>kind_of_power_te_unit</vt:lpstr>
      <vt:lpstr>kind_of_publication</vt:lpstr>
      <vt:lpstr>kind_of_purchase_method</vt:lpstr>
      <vt:lpstr>kind_of_scheme_in</vt:lpstr>
      <vt:lpstr>kind_of_scheme_in2</vt:lpstr>
      <vt:lpstr>kind_of_tariff_unit</vt:lpstr>
      <vt:lpstr>kind_of_unit</vt:lpstr>
      <vt:lpstr>kind_of_volume_te_unit</vt:lpstr>
      <vt:lpstr>kind_of_zak</vt:lpstr>
      <vt:lpstr>KNE_NAME_FORM</vt:lpstr>
      <vt:lpstr>kpp</vt:lpstr>
      <vt:lpstr>LINK_RANGE</vt:lpstr>
      <vt:lpstr>List_H</vt:lpstr>
      <vt:lpstr>List_M</vt:lpstr>
      <vt:lpstr>LIST_MR_MO_OKTMO</vt:lpstr>
      <vt:lpstr>LIST_MR_MO_OKTMO_FILTER</vt:lpstr>
      <vt:lpstr>ListForms</vt:lpstr>
      <vt:lpstr>logical</vt:lpstr>
      <vt:lpstr>MONTH</vt:lpstr>
      <vt:lpstr>MONTH_IP_LIST</vt:lpstr>
      <vt:lpstr>nalog</vt:lpstr>
      <vt:lpstr>name_rates_4</vt:lpstr>
      <vt:lpstr>name_rates_4_filter</vt:lpstr>
      <vt:lpstr>name_rates_8</vt:lpstr>
      <vt:lpstr>name_rates_8_filter</vt:lpstr>
      <vt:lpstr>NameTemplatesInListMO</vt:lpstr>
      <vt:lpstr>NameTemplatesInTitle</vt:lpstr>
      <vt:lpstr>NameTemplatesInTitleList</vt:lpstr>
      <vt:lpstr>NTAR_ID</vt:lpstr>
      <vt:lpstr>OFFER_TARIFF_A_1</vt:lpstr>
      <vt:lpstr>OFFER_TARIFF_A_2</vt:lpstr>
      <vt:lpstr>OFFER_TARIFF_A_3</vt:lpstr>
      <vt:lpstr>OFFER_TARIFF_A_4</vt:lpstr>
      <vt:lpstr>OFFER_TARIFF_A_5</vt:lpstr>
      <vt:lpstr>OFFER_TARIFF_A_COLDVSNA_1</vt:lpstr>
      <vt:lpstr>OFFER_TARIFF_A_COLDVSNA_2</vt:lpstr>
      <vt:lpstr>OFFER_TARIFF_A_COLDVSNA_3</vt:lpstr>
      <vt:lpstr>OFFER_TARIFF_A_COLDVSNA_4</vt:lpstr>
      <vt:lpstr>OFFER_TARIFF_A_COLDVSNA_5</vt:lpstr>
      <vt:lpstr>OFFER_TARIFF_A_HOTVSNA_1</vt:lpstr>
      <vt:lpstr>OFFER_TARIFF_A_HOTVSNA_2</vt:lpstr>
      <vt:lpstr>OFFER_TARIFF_A_HOTVSNA_3</vt:lpstr>
      <vt:lpstr>OFFER_TARIFF_A_HOTVSNA_4</vt:lpstr>
      <vt:lpstr>OFFER_TARIFF_A_HOTVSNA_5</vt:lpstr>
      <vt:lpstr>OFFER_TARIFF_A_VOTV_1</vt:lpstr>
      <vt:lpstr>OFFER_TARIFF_A_VOTV_2</vt:lpstr>
      <vt:lpstr>OFFER_TARIFF_A_VOTV_3</vt:lpstr>
      <vt:lpstr>OFFER_TARIFF_A_VOTV_4</vt:lpstr>
      <vt:lpstr>OFFER_TARIFF_A_VOTV_5</vt:lpstr>
      <vt:lpstr>OFFER_TARIFF_B_1</vt:lpstr>
      <vt:lpstr>OFFER_TARIFF_B_2</vt:lpstr>
      <vt:lpstr>OFFER_TARIFF_B_3</vt:lpstr>
      <vt:lpstr>OFFER_TARIFF_B_4</vt:lpstr>
      <vt:lpstr>OFFER_TARIFF_B_5</vt:lpstr>
      <vt:lpstr>OFFER_TARIFF_B_COLDVSNA_1</vt:lpstr>
      <vt:lpstr>OFFER_TARIFF_B_COLDVSNA_2</vt:lpstr>
      <vt:lpstr>OFFER_TARIFF_B_COLDVSNA_3</vt:lpstr>
      <vt:lpstr>OFFER_TARIFF_B_COLDVSNA_4</vt:lpstr>
      <vt:lpstr>OFFER_TARIFF_B_COLDVSNA_5</vt:lpstr>
      <vt:lpstr>OFFER_TARIFF_B_HOTVSNA_1</vt:lpstr>
      <vt:lpstr>OFFER_TARIFF_B_HOTVSNA_2</vt:lpstr>
      <vt:lpstr>OFFER_TARIFF_B_HOTVSNA_3</vt:lpstr>
      <vt:lpstr>OFFER_TARIFF_B_HOTVSNA_4</vt:lpstr>
      <vt:lpstr>OFFER_TARIFF_B_HOTVSNA_5</vt:lpstr>
      <vt:lpstr>OFFER_TARIFF_B_VOTV_1</vt:lpstr>
      <vt:lpstr>OFFER_TARIFF_B_VOTV_2</vt:lpstr>
      <vt:lpstr>OFFER_TARIFF_B_VOTV_3</vt:lpstr>
      <vt:lpstr>OFFER_TARIFF_B_VOTV_4</vt:lpstr>
      <vt:lpstr>OFFER_TARIFF_B_VOTV_5</vt:lpstr>
      <vt:lpstr>OFFER_TARIFF_C_1</vt:lpstr>
      <vt:lpstr>OFFER_TARIFF_C_2</vt:lpstr>
      <vt:lpstr>OFFER_TARIFF_C_3</vt:lpstr>
      <vt:lpstr>OFFER_TARIFF_C_4</vt:lpstr>
      <vt:lpstr>OFFER_TARIFF_C_5</vt:lpstr>
      <vt:lpstr>OFFER_TARIFF_C_COLDVSNA_1</vt:lpstr>
      <vt:lpstr>OFFER_TARIFF_C_COLDVSNA_2</vt:lpstr>
      <vt:lpstr>OFFER_TARIFF_C_COLDVSNA_3</vt:lpstr>
      <vt:lpstr>OFFER_TARIFF_C_COLDVSNA_4</vt:lpstr>
      <vt:lpstr>OFFER_TARIFF_C_COLDVSNA_5</vt:lpstr>
      <vt:lpstr>OFFER_TARIFF_C_HOTVSNA_1</vt:lpstr>
      <vt:lpstr>OFFER_TARIFF_C_HOTVSNA_2</vt:lpstr>
      <vt:lpstr>OFFER_TARIFF_C_HOTVSNA_3</vt:lpstr>
      <vt:lpstr>OFFER_TARIFF_C_HOTVSNA_4</vt:lpstr>
      <vt:lpstr>OFFER_TARIFF_C_HOTVSNA_5</vt:lpstr>
      <vt:lpstr>OFFER_TARIFF_C_VOTV_1</vt:lpstr>
      <vt:lpstr>OFFER_TARIFF_C_VOTV_2</vt:lpstr>
      <vt:lpstr>OFFER_TARIFF_C_VOTV_3</vt:lpstr>
      <vt:lpstr>OFFER_TARIFF_C_VOTV_4</vt:lpstr>
      <vt:lpstr>OFFER_TARIFF_C_VOTV_5</vt:lpstr>
      <vt:lpstr>OFFER_TARIFF_D_1</vt:lpstr>
      <vt:lpstr>OFFER_TARIFF_D_2</vt:lpstr>
      <vt:lpstr>OFFER_TARIFF_D_3</vt:lpstr>
      <vt:lpstr>OFFER_TARIFF_D_4</vt:lpstr>
      <vt:lpstr>OFFER_TARIFF_D_5</vt:lpstr>
      <vt:lpstr>OFFER_TARIFF_D_COLDVSNA_1</vt:lpstr>
      <vt:lpstr>OFFER_TARIFF_D_COLDVSNA_2</vt:lpstr>
      <vt:lpstr>OFFER_TARIFF_D_COLDVSNA_3</vt:lpstr>
      <vt:lpstr>OFFER_TARIFF_D_COLDVSNA_4</vt:lpstr>
      <vt:lpstr>OFFER_TARIFF_D_COLDVSNA_5</vt:lpstr>
      <vt:lpstr>OFFER_TARIFF_E_COLDVSNA_1</vt:lpstr>
      <vt:lpstr>OFFER_TARIFF_E_COLDVSNA_2</vt:lpstr>
      <vt:lpstr>OFFER_TARIFF_E_COLDVSNA_3</vt:lpstr>
      <vt:lpstr>OFFER_TARIFF_E_COLDVSNA_4</vt:lpstr>
      <vt:lpstr>OFFER_TARIFF_E_COLDVSNA_5</vt:lpstr>
      <vt:lpstr>OFFER_TARIFF_E1_1</vt:lpstr>
      <vt:lpstr>OFFER_TARIFF_E1_2</vt:lpstr>
      <vt:lpstr>OFFER_TARIFF_E1_3</vt:lpstr>
      <vt:lpstr>OFFER_TARIFF_E1_4</vt:lpstr>
      <vt:lpstr>OFFER_TARIFF_E1_5</vt:lpstr>
      <vt:lpstr>OFFER_TARIFF_E2_1</vt:lpstr>
      <vt:lpstr>OFFER_TARIFF_E2_2</vt:lpstr>
      <vt:lpstr>OFFER_TARIFF_E2_3</vt:lpstr>
      <vt:lpstr>OFFER_TARIFF_E2_4</vt:lpstr>
      <vt:lpstr>OFFER_TARIFF_E2_5</vt:lpstr>
      <vt:lpstr>OFFER_TARIFF_F_1</vt:lpstr>
      <vt:lpstr>OFFER_TARIFF_F_2</vt:lpstr>
      <vt:lpstr>OFFER_TARIFF_F_3</vt:lpstr>
      <vt:lpstr>OFFER_TARIFF_F_4</vt:lpstr>
      <vt:lpstr>OFFER_TARIFF_F_5</vt:lpstr>
      <vt:lpstr>OFFER_TARIFF_G_1</vt:lpstr>
      <vt:lpstr>OFFER_TARIFF_G_2</vt:lpstr>
      <vt:lpstr>OFFER_TARIFF_G_3</vt:lpstr>
      <vt:lpstr>OFFER_TARIFF_G_4</vt:lpstr>
      <vt:lpstr>OFFER_TARIFF_G_5</vt:lpstr>
      <vt:lpstr>org</vt:lpstr>
      <vt:lpstr>Org_Address</vt:lpstr>
      <vt:lpstr>ORG_END_DATE</vt:lpstr>
      <vt:lpstr>ORG_INFO_DATE_OGRN</vt:lpstr>
      <vt:lpstr>ORG_INFO_DATE_PARKING</vt:lpstr>
      <vt:lpstr>ORG_INFO_DATE_UNI_TS</vt:lpstr>
      <vt:lpstr>ORG_INFO_EMAIL</vt:lpstr>
      <vt:lpstr>ORG_INFO_ET</vt:lpstr>
      <vt:lpstr>ORG_INFO_FLAG_INVEST</vt:lpstr>
      <vt:lpstr>ORG_INFO_NAME_FORM</vt:lpstr>
      <vt:lpstr>ORG_INFO_P_NOTE_MAIN</vt:lpstr>
      <vt:lpstr>ORG_INFO_RESP_EMAIL</vt:lpstr>
      <vt:lpstr>ORG_INFO_URL</vt:lpstr>
      <vt:lpstr>Org_main</vt:lpstr>
      <vt:lpstr>ORG_START_DATE</vt:lpstr>
      <vt:lpstr>ORG_TERRITORY_FIRST_MO</vt:lpstr>
      <vt:lpstr>ORG_TERRITORY_FLAG_INTERNET</vt:lpstr>
      <vt:lpstr>ORG_TERRITORY_LINK</vt:lpstr>
      <vt:lpstr>ORG_TERRITORY_NAME_COL</vt:lpstr>
      <vt:lpstr>ORG_TERRITORY_POINT_NUMBER_1</vt:lpstr>
      <vt:lpstr>ORG_VD_EM</vt:lpstr>
      <vt:lpstr>ORG_VD_FIRST_ROW</vt:lpstr>
      <vt:lpstr>ORG_VD_FIRST_SYSTEM</vt:lpstr>
      <vt:lpstr>ORG_VD_SYSTEM</vt:lpstr>
      <vt:lpstr>ORG_VD_TKO_ADD_HL_ACTIVITY_COLUMN_MARKER</vt:lpstr>
      <vt:lpstr>ORG_VD_TKO_ADD_HL_TYPE_OBJECT_COLUMN_MARKER</vt:lpstr>
      <vt:lpstr>ORG_VD_TKO_DEL_HL_ACTIVITY_COLUMN_MARKER</vt:lpstr>
      <vt:lpstr>ORG_VD_TKO_DEL_HL_TYPE_OBJECT_COLUMN_MARKER</vt:lpstr>
      <vt:lpstr>ORG_VD_TKO_VD</vt:lpstr>
      <vt:lpstr>ORG_VD_TKO_VD_ID</vt:lpstr>
      <vt:lpstr>ORG_VD_VD</vt:lpstr>
      <vt:lpstr>ORG_VD_VD_ID</vt:lpstr>
      <vt:lpstr>OTKO_FIN_SRC_LIST</vt:lpstr>
      <vt:lpstr>OTKO_FIN_SRC_VLD_LIST</vt:lpstr>
      <vt:lpstr>OTKO_IP_EVENT_CI_STAGE_LIST</vt:lpstr>
      <vt:lpstr>OTKO_IP_EVENT_GROUP_LIST</vt:lpstr>
      <vt:lpstr>OTKO_IP_EVENT_TYPE_LIST</vt:lpstr>
      <vt:lpstr>otv_lico_name</vt:lpstr>
      <vt:lpstr>P_T_TERMS_LINK</vt:lpstr>
      <vt:lpstr>pCng_P_T_TERMS_1</vt:lpstr>
      <vt:lpstr>pCng_P_T_TERMS_2</vt:lpstr>
      <vt:lpstr>pCng_P_T_TERMS_3</vt:lpstr>
      <vt:lpstr>pCng_P_T_TERMS_4</vt:lpstr>
      <vt:lpstr>pDel_CHANGE_INFO</vt:lpstr>
      <vt:lpstr>pDel_Comm</vt:lpstr>
      <vt:lpstr>pDel_DIFFERENTIATION_AREA</vt:lpstr>
      <vt:lpstr>pDel_DIFFERENTIATION_SYSTEM</vt:lpstr>
      <vt:lpstr>pDel_DIFFERENTIATION_VD</vt:lpstr>
      <vt:lpstr>pDel_ED</vt:lpstr>
      <vt:lpstr>pDel_IP_DETAILED_EVENT</vt:lpstr>
      <vt:lpstr>pDel_IP_DETAILED_IST_FIN</vt:lpstr>
      <vt:lpstr>pDel_IP_DETAILED_OBJECT</vt:lpstr>
      <vt:lpstr>pDel_IP_MAIN</vt:lpstr>
      <vt:lpstr>pDel_IP_MAIN_PROPERTY</vt:lpstr>
      <vt:lpstr>pDel_IP_QRE_CLAIM</vt:lpstr>
      <vt:lpstr>pDel_List07</vt:lpstr>
      <vt:lpstr>pDel_LT_AREA</vt:lpstr>
      <vt:lpstr>pDel_LT_MO</vt:lpstr>
      <vt:lpstr>pDel_ORG_INFO</vt:lpstr>
      <vt:lpstr>pDel_ORG_TERRITORY</vt:lpstr>
      <vt:lpstr>pDel_ORG_VD</vt:lpstr>
      <vt:lpstr>pDel_P_PROCEDURE_TC</vt:lpstr>
      <vt:lpstr>pDel_P_T_TERMS</vt:lpstr>
      <vt:lpstr>pDel_R_B_Purch</vt:lpstr>
      <vt:lpstr>periodEnd</vt:lpstr>
      <vt:lpstr>PeriodIsEmpty</vt:lpstr>
      <vt:lpstr>PeriodIsEmptyList</vt:lpstr>
      <vt:lpstr>periodStart</vt:lpstr>
      <vt:lpstr>pHeader_B_FHD</vt:lpstr>
      <vt:lpstr>pHeader_B_FHD_TKO</vt:lpstr>
      <vt:lpstr>pHeader_B_FHD_TKO_TRANS</vt:lpstr>
      <vt:lpstr>pHeader_B_KNE</vt:lpstr>
      <vt:lpstr>pHeader_Q_LIMIT</vt:lpstr>
      <vt:lpstr>pHeader_Q_PH</vt:lpstr>
      <vt:lpstr>pHeader_Q_TP</vt:lpstr>
      <vt:lpstr>pHeader_ver_B_FHD</vt:lpstr>
      <vt:lpstr>pHeader_ver_B_FHD_TKO</vt:lpstr>
      <vt:lpstr>pHeader_ver_B_FHD_TKO_TRANS</vt:lpstr>
      <vt:lpstr>pHeader_ver_B_KNE</vt:lpstr>
      <vt:lpstr>pHeader_ver_P_PROCEDURE_TC</vt:lpstr>
      <vt:lpstr>pHeader_ver_Q_LIMIT</vt:lpstr>
      <vt:lpstr>pIns_B_FHD_1</vt:lpstr>
      <vt:lpstr>pIns_B_FHD_2</vt:lpstr>
      <vt:lpstr>pIns_B_FHD_3</vt:lpstr>
      <vt:lpstr>pIns_B_FHD_4</vt:lpstr>
      <vt:lpstr>pIns_B_FHD_5</vt:lpstr>
      <vt:lpstr>pIns_B_FHD_6</vt:lpstr>
      <vt:lpstr>pIns_B_FHD_DIFFERENTIATION</vt:lpstr>
      <vt:lpstr>pIns_B_FHD_TKO_2</vt:lpstr>
      <vt:lpstr>pIns_B_FHD_TKO_DIFFERENTIATION</vt:lpstr>
      <vt:lpstr>pIns_B_FHD_TKO_TRANS_2</vt:lpstr>
      <vt:lpstr>pIns_B_FHD_TKO_TRANS_DIFFERENTIATION</vt:lpstr>
      <vt:lpstr>pIns_B_FHD20_DIFFERENTIATION</vt:lpstr>
      <vt:lpstr>pIns_B_KNE_DIFFERENTIATION</vt:lpstr>
      <vt:lpstr>pIns_CHANGE_INFO</vt:lpstr>
      <vt:lpstr>pIns_Comm</vt:lpstr>
      <vt:lpstr>pIns_ED</vt:lpstr>
      <vt:lpstr>pIns_IP_DETAILED</vt:lpstr>
      <vt:lpstr>pIns_IP_FIN_PLAN</vt:lpstr>
      <vt:lpstr>pIns_IP_MAIN</vt:lpstr>
      <vt:lpstr>pIns_IP_QRE</vt:lpstr>
      <vt:lpstr>pIns_List07</vt:lpstr>
      <vt:lpstr>pIns_LT_AREA</vt:lpstr>
      <vt:lpstr>pIns_ORG_INFO_1</vt:lpstr>
      <vt:lpstr>pIns_ORG_INFO_2</vt:lpstr>
      <vt:lpstr>pIns_ORG_TERRITORY</vt:lpstr>
      <vt:lpstr>pIns_ORG_VD_1</vt:lpstr>
      <vt:lpstr>pIns_ORG_VD_2</vt:lpstr>
      <vt:lpstr>pIns_ORG_VD_TKO_1</vt:lpstr>
      <vt:lpstr>pIns_P_PROCEDURE_TC_1</vt:lpstr>
      <vt:lpstr>pIns_P_PROCEDURE_TC_2</vt:lpstr>
      <vt:lpstr>pIns_P_PROCEDURE_TC_3</vt:lpstr>
      <vt:lpstr>pIns_P_PROCEDURE_TC_4</vt:lpstr>
      <vt:lpstr>pIns_P_PROCEDURE_TC_5</vt:lpstr>
      <vt:lpstr>pIns_P_T_TERMS_1</vt:lpstr>
      <vt:lpstr>pIns_P_T_TERMS_2</vt:lpstr>
      <vt:lpstr>pIns_P_T_TERMS_3</vt:lpstr>
      <vt:lpstr>pIns_P_T_TERMS_4</vt:lpstr>
      <vt:lpstr>pIns_PT_VTAR_A</vt:lpstr>
      <vt:lpstr>pIns_PT_VTAR_A_COLDVSNA</vt:lpstr>
      <vt:lpstr>pIns_PT_VTAR_A_HOTVSNA</vt:lpstr>
      <vt:lpstr>pIns_PT_VTAR_A_VOTV</vt:lpstr>
      <vt:lpstr>pIns_PT_VTAR_B</vt:lpstr>
      <vt:lpstr>pIns_PT_VTAR_B_COLDVSNA</vt:lpstr>
      <vt:lpstr>pIns_PT_VTAR_B_HOTVSNA</vt:lpstr>
      <vt:lpstr>pIns_PT_VTAR_B_VOTV</vt:lpstr>
      <vt:lpstr>pIns_PT_VTAR_C</vt:lpstr>
      <vt:lpstr>pIns_PT_VTAR_C_COLDVSNA</vt:lpstr>
      <vt:lpstr>pIns_PT_VTAR_C_HOTVSNA</vt:lpstr>
      <vt:lpstr>pIns_PT_VTAR_C_VOTV</vt:lpstr>
      <vt:lpstr>pIns_PT_VTAR_D</vt:lpstr>
      <vt:lpstr>pIns_PT_VTAR_D_COLDVSNA</vt:lpstr>
      <vt:lpstr>pIns_PT_VTAR_E_COLDVSNA</vt:lpstr>
      <vt:lpstr>pIns_PT_VTAR_E1</vt:lpstr>
      <vt:lpstr>pIns_PT_VTAR_E2</vt:lpstr>
      <vt:lpstr>pIns_PT_VTAR_F</vt:lpstr>
      <vt:lpstr>pIns_PT_VTAR_G</vt:lpstr>
      <vt:lpstr>pIns_Q_LIMIT_1</vt:lpstr>
      <vt:lpstr>pIns_Q_LIMIT_2</vt:lpstr>
      <vt:lpstr>pIns_Q_LIMIT_3</vt:lpstr>
      <vt:lpstr>pIns_Q_LIMIT_4</vt:lpstr>
      <vt:lpstr>pIns_Q_LIMIT_DIFFERENTIATION</vt:lpstr>
      <vt:lpstr>pIns_Q_PH_DIFFERENTIATION</vt:lpstr>
      <vt:lpstr>pIns_Q_TP_1</vt:lpstr>
      <vt:lpstr>pIns_Q_TP_DIFFERENTIATION</vt:lpstr>
      <vt:lpstr>pIns_R_B_Purch_1</vt:lpstr>
      <vt:lpstr>pIns_ROIV_CASE_case</vt:lpstr>
      <vt:lpstr>pIns_ROIV_INFO_phone</vt:lpstr>
      <vt:lpstr>pIns_ROIV_ORG_org</vt:lpstr>
      <vt:lpstr>pIns_ROIV_OTV_org</vt:lpstr>
      <vt:lpstr>pIns_ver_COLDVSNA_TARIFF_A_COLDVSNA</vt:lpstr>
      <vt:lpstr>pIns_ver_COLDVSNA_TARIFF_B_COLDVSNA</vt:lpstr>
      <vt:lpstr>pIns_ver_COLDVSNA_TARIFF_C_COLDVSNA</vt:lpstr>
      <vt:lpstr>pIns_ver_COLDVSNA_TARIFF_D_COLDVSNA</vt:lpstr>
      <vt:lpstr>pIns_ver_COLDVSNA_TARIFF_E_COLDVSNA</vt:lpstr>
      <vt:lpstr>pIns_ver_HEAT_TARIFF_A</vt:lpstr>
      <vt:lpstr>pIns_ver_HEAT_TARIFF_B</vt:lpstr>
      <vt:lpstr>pIns_ver_HEAT_TARIFF_C</vt:lpstr>
      <vt:lpstr>pIns_ver_HEAT_TARIFF_D</vt:lpstr>
      <vt:lpstr>pIns_ver_HEAT_TARIFF_E1</vt:lpstr>
      <vt:lpstr>pIns_ver_HEAT_TARIFF_E2</vt:lpstr>
      <vt:lpstr>pIns_ver_HEAT_TARIFF_F</vt:lpstr>
      <vt:lpstr>pIns_ver_HEAT_TARIFF_G</vt:lpstr>
      <vt:lpstr>pIns_ver_HOTVSNA_TARIFF_A_HOTVSNA</vt:lpstr>
      <vt:lpstr>pIns_ver_HOTVSNA_TARIFF_B_HOTVSNA</vt:lpstr>
      <vt:lpstr>pIns_ver_HOTVSNA_TARIFF_C_HOTVSNA</vt:lpstr>
      <vt:lpstr>pIns_ver_VOTV_TARIFF_A_VOTV</vt:lpstr>
      <vt:lpstr>pIns_ver_VOTV_TARIFF_B_VOTV</vt:lpstr>
      <vt:lpstr>pIns_ver_VOTV_TARIFF_C_VOTV</vt:lpstr>
      <vt:lpstr>pNote_LIMIT</vt:lpstr>
      <vt:lpstr>pNote_Q_PH</vt:lpstr>
      <vt:lpstr>PROCEDURE_TC_NAME_FORM</vt:lpstr>
      <vt:lpstr>PT_ADD_HL_CS_COLUMN_MARKER</vt:lpstr>
      <vt:lpstr>PT_ADD_HL_IST_TE_COLUMN_MARKER</vt:lpstr>
      <vt:lpstr>PT_ADD_HL_NTAR_COLUMN_MARKER</vt:lpstr>
      <vt:lpstr>PT_ADD_HL_TER_COLUMN_MARKER</vt:lpstr>
      <vt:lpstr>PT_ADD_HL_VTAR_COLUMN_MARKER</vt:lpstr>
      <vt:lpstr>pt_cs_1</vt:lpstr>
      <vt:lpstr>pt_cs_10</vt:lpstr>
      <vt:lpstr>pt_cs_11</vt:lpstr>
      <vt:lpstr>pt_cs_12</vt:lpstr>
      <vt:lpstr>pt_cs_13</vt:lpstr>
      <vt:lpstr>pt_cs_14</vt:lpstr>
      <vt:lpstr>pt_cs_15</vt:lpstr>
      <vt:lpstr>pt_cs_16</vt:lpstr>
      <vt:lpstr>pt_cs_17</vt:lpstr>
      <vt:lpstr>pt_cs_18</vt:lpstr>
      <vt:lpstr>pt_cs_19</vt:lpstr>
      <vt:lpstr>pt_cs_2</vt:lpstr>
      <vt:lpstr>pt_cs_3</vt:lpstr>
      <vt:lpstr>pt_cs_4</vt:lpstr>
      <vt:lpstr>pt_cs_4i</vt:lpstr>
      <vt:lpstr>pt_cs_4p</vt:lpstr>
      <vt:lpstr>pt_cs_5</vt:lpstr>
      <vt:lpstr>pt_cs_6</vt:lpstr>
      <vt:lpstr>pt_cs_7</vt:lpstr>
      <vt:lpstr>pt_cs_8</vt:lpstr>
      <vt:lpstr>pt_cs_9</vt:lpstr>
      <vt:lpstr>PT_DEL_HL_CS_COLUMN_MARKER</vt:lpstr>
      <vt:lpstr>PT_DEL_HL_IST_TE_COLUMN_MARKER</vt:lpstr>
      <vt:lpstr>PT_DEL_HL_NTAR_COLUMN_MARKER</vt:lpstr>
      <vt:lpstr>PT_DEL_HL_TER_COLUMN_MARKER</vt:lpstr>
      <vt:lpstr>PT_DEL_HL_VTAR_COLUMN_MARKER</vt:lpstr>
      <vt:lpstr>PT_DIAMETERS_2_LIST</vt:lpstr>
      <vt:lpstr>PT_DIAMETERS_LIST</vt:lpstr>
      <vt:lpstr>PT_DIFFERENTIATION_CS</vt:lpstr>
      <vt:lpstr>PT_DIFFERENTIATION_CS_ID</vt:lpstr>
      <vt:lpstr>PT_DIFFERENTIATION_IST_TE</vt:lpstr>
      <vt:lpstr>PT_DIFFERENTIATION_IST_TE_ID</vt:lpstr>
      <vt:lpstr>PT_DIFFERENTIATION_NTAR</vt:lpstr>
      <vt:lpstr>PT_DIFFERENTIATION_NTAR_ID</vt:lpstr>
      <vt:lpstr>PT_DIFFERENTIATION_NUM_CS</vt:lpstr>
      <vt:lpstr>PT_DIFFERENTIATION_NUM_IST_TE</vt:lpstr>
      <vt:lpstr>PT_DIFFERENTIATION_NUM_NTAR</vt:lpstr>
      <vt:lpstr>PT_DIFFERENTIATION_NUM_TER</vt:lpstr>
      <vt:lpstr>PT_DIFFERENTIATION_TER</vt:lpstr>
      <vt:lpstr>PT_DIFFERENTIATION_TER_ID</vt:lpstr>
      <vt:lpstr>PT_DIFFERENTIATION_VDET</vt:lpstr>
      <vt:lpstr>PT_DIFFERENTIATION_VTAR</vt:lpstr>
      <vt:lpstr>PT_DIFFERENTIATION_VTAR_ID</vt:lpstr>
      <vt:lpstr>PT_FLAG_CS_COLUMN_MARKER</vt:lpstr>
      <vt:lpstr>PT_FLAG_IST_TE_COLUMN_MARKER</vt:lpstr>
      <vt:lpstr>PT_FLAG_TER_COLUMN_MARKER</vt:lpstr>
      <vt:lpstr>PT_FLAG_VTAR_COLUMN_MARKER</vt:lpstr>
      <vt:lpstr>PT_GROUP_CONSUMER_LIST</vt:lpstr>
      <vt:lpstr>pt_ist_te_1</vt:lpstr>
      <vt:lpstr>pt_ist_te_2</vt:lpstr>
      <vt:lpstr>pt_ist_te_3</vt:lpstr>
      <vt:lpstr>pt_ist_te_4</vt:lpstr>
      <vt:lpstr>pt_ist_te_4i</vt:lpstr>
      <vt:lpstr>pt_ist_te_4p</vt:lpstr>
      <vt:lpstr>pt_ist_te_5</vt:lpstr>
      <vt:lpstr>pt_ist_te_6</vt:lpstr>
      <vt:lpstr>pt_ist_te_7</vt:lpstr>
      <vt:lpstr>pt_ist_te_8</vt:lpstr>
      <vt:lpstr>PT_LOAD_LIST</vt:lpstr>
      <vt:lpstr>PT_NETS_LIST</vt:lpstr>
      <vt:lpstr>pt_ntar_1</vt:lpstr>
      <vt:lpstr>pt_ntar_10</vt:lpstr>
      <vt:lpstr>pt_ntar_11</vt:lpstr>
      <vt:lpstr>pt_ntar_12</vt:lpstr>
      <vt:lpstr>pt_ntar_13</vt:lpstr>
      <vt:lpstr>pt_ntar_14</vt:lpstr>
      <vt:lpstr>pt_ntar_15</vt:lpstr>
      <vt:lpstr>pt_ntar_16</vt:lpstr>
      <vt:lpstr>pt_ntar_17</vt:lpstr>
      <vt:lpstr>pt_ntar_18</vt:lpstr>
      <vt:lpstr>pt_ntar_19</vt:lpstr>
      <vt:lpstr>pt_ntar_2</vt:lpstr>
      <vt:lpstr>pt_ntar_3</vt:lpstr>
      <vt:lpstr>pt_ntar_4</vt:lpstr>
      <vt:lpstr>pt_ntar_4i</vt:lpstr>
      <vt:lpstr>pt_ntar_4p</vt:lpstr>
      <vt:lpstr>pt_ntar_5</vt:lpstr>
      <vt:lpstr>pt_ntar_6</vt:lpstr>
      <vt:lpstr>pt_ntar_7</vt:lpstr>
      <vt:lpstr>pt_ntar_8</vt:lpstr>
      <vt:lpstr>pt_ntar_9</vt:lpstr>
      <vt:lpstr>PT_P_FORM_COLDVSNA_4_NAME_FORM</vt:lpstr>
      <vt:lpstr>PT_P_FORM_COLDVSNA_5_NAME_FORM</vt:lpstr>
      <vt:lpstr>PT_P_FORM_HEAT_21_NAME_FORM</vt:lpstr>
      <vt:lpstr>PT_P_FORM_HEAT_22_NAME_FORM</vt:lpstr>
      <vt:lpstr>PT_P_FORM_HEAT_4_NAME_FORM</vt:lpstr>
      <vt:lpstr>PT_P_FORM_HEAT_5_NAME_FORM</vt:lpstr>
      <vt:lpstr>PT_P_FORM_HEAT_6_NAME_FORM</vt:lpstr>
      <vt:lpstr>PT_P_FORM_HEAT_7_NAME_FORM</vt:lpstr>
      <vt:lpstr>PT_P_FORM_HOTVSNA_4_NAME_FORM</vt:lpstr>
      <vt:lpstr>PT_P_FORM_HOTVSNA_5_NAME_FORM</vt:lpstr>
      <vt:lpstr>PT_P_FORM_VOTV_4_NAME_FORM</vt:lpstr>
      <vt:lpstr>PT_P_FORM_VOTV_5_NAME_FORM</vt:lpstr>
      <vt:lpstr>PT_R_FORM_COLDVSNA_16_NAME_FORM</vt:lpstr>
      <vt:lpstr>PT_R_FORM_COLDVSNA_17_NAME_FORM</vt:lpstr>
      <vt:lpstr>PT_R_FORM_HEAT_21_NAME_FORM</vt:lpstr>
      <vt:lpstr>PT_R_FORM_HEAT_22_NAME_FORM</vt:lpstr>
      <vt:lpstr>PT_R_FORM_HEAT_23_NAME_FORM</vt:lpstr>
      <vt:lpstr>PT_R_FORM_HEAT_24_NAME_FORM</vt:lpstr>
      <vt:lpstr>PT_R_FORM_HOTVSNA_16_NAME_FORM</vt:lpstr>
      <vt:lpstr>PT_R_FORM_HOTVSNA_17_NAME_FORM</vt:lpstr>
      <vt:lpstr>PT_R_FORM_VOTV_16_NAME_FORM</vt:lpstr>
      <vt:lpstr>PT_R_FORM_VOTV_17_NAME_FORM</vt:lpstr>
      <vt:lpstr>PT_SCHEME_LIST</vt:lpstr>
      <vt:lpstr>pt_ter_1</vt:lpstr>
      <vt:lpstr>pt_ter_10</vt:lpstr>
      <vt:lpstr>pt_ter_11</vt:lpstr>
      <vt:lpstr>pt_ter_12</vt:lpstr>
      <vt:lpstr>pt_ter_13</vt:lpstr>
      <vt:lpstr>pt_ter_14</vt:lpstr>
      <vt:lpstr>pt_ter_15</vt:lpstr>
      <vt:lpstr>pt_ter_16</vt:lpstr>
      <vt:lpstr>pt_ter_17</vt:lpstr>
      <vt:lpstr>pt_ter_18</vt:lpstr>
      <vt:lpstr>pt_ter_19</vt:lpstr>
      <vt:lpstr>pt_ter_2</vt:lpstr>
      <vt:lpstr>pt_ter_3</vt:lpstr>
      <vt:lpstr>pt_ter_4</vt:lpstr>
      <vt:lpstr>pt_ter_4i</vt:lpstr>
      <vt:lpstr>pt_ter_4p</vt:lpstr>
      <vt:lpstr>pt_ter_5</vt:lpstr>
      <vt:lpstr>pt_ter_6</vt:lpstr>
      <vt:lpstr>pt_ter_7</vt:lpstr>
      <vt:lpstr>pt_ter_8</vt:lpstr>
      <vt:lpstr>pt_ter_9</vt:lpstr>
      <vt:lpstr>PT_TN_LIST</vt:lpstr>
      <vt:lpstr>PT_VDET_COLUMN_MARKER</vt:lpstr>
      <vt:lpstr>PURCH_NAME_FORM</vt:lpstr>
      <vt:lpstr>Q_LIMIT_CheckC</vt:lpstr>
      <vt:lpstr>Q_LIMIT_diff_1</vt:lpstr>
      <vt:lpstr>Q_Limit_diff_66</vt:lpstr>
      <vt:lpstr>Q_LIMIT_p3</vt:lpstr>
      <vt:lpstr>Q_LIMIT_p4</vt:lpstr>
      <vt:lpstr>Q_PH_diff_1</vt:lpstr>
      <vt:lpstr>Q_PH_diff_66</vt:lpstr>
      <vt:lpstr>Q_TP_COUNT_REFUSAL</vt:lpstr>
      <vt:lpstr>Q_TP_diff_1</vt:lpstr>
      <vt:lpstr>Q_TP_diff_66</vt:lpstr>
      <vt:lpstr>QRE_METHOD_LIST</vt:lpstr>
      <vt:lpstr>QUARTER</vt:lpstr>
      <vt:lpstr>REESTR_IP_RANGE</vt:lpstr>
      <vt:lpstr>REESTR_LINK_RANGE</vt:lpstr>
      <vt:lpstr>REESTR_VT_RANGE</vt:lpstr>
      <vt:lpstr>REGION</vt:lpstr>
      <vt:lpstr>region_name</vt:lpstr>
      <vt:lpstr>RegulatoryPeriod</vt:lpstr>
      <vt:lpstr>ReportPeriod</vt:lpstr>
      <vt:lpstr>ROIV_CASE_ADD_HL_CASE_COLUMN_MARKER</vt:lpstr>
      <vt:lpstr>ROIV_CASE_DEL_HL_CASE_COLUMN_MARKER</vt:lpstr>
      <vt:lpstr>ROIV_CASE_NUM_CASE_COLUMN_MARKER</vt:lpstr>
      <vt:lpstr>ROIV_INFO_DEL_HL_PHONE_COLUMN_MARKER</vt:lpstr>
      <vt:lpstr>ROIV_INFO_LIST</vt:lpstr>
      <vt:lpstr>ROIV_INFO_NAME</vt:lpstr>
      <vt:lpstr>ROIV_INFO_NUM_PHONE_COLUMN_MARKER</vt:lpstr>
      <vt:lpstr>ROIV_ORG_DEL_HL_ORG_COLUMN_MARKER</vt:lpstr>
      <vt:lpstr>ROIV_ORG_INN_COLUMN_MARKER</vt:lpstr>
      <vt:lpstr>ROIV_ORG_KPP_COLUMN_MARKER</vt:lpstr>
      <vt:lpstr>ROIV_ORG_NAME_ORG_COLUMN_MARKER</vt:lpstr>
      <vt:lpstr>ROIV_ORG_NUM_ORG_COLUMN_MARKER</vt:lpstr>
      <vt:lpstr>ROIV_ORG_TECH_ORG_ID_COLUMN_MARKER</vt:lpstr>
      <vt:lpstr>ROIV_OTV_ADD_HL_DL_COLUMN_MARKER</vt:lpstr>
      <vt:lpstr>ROIV_OTV_DEL_HL_DL_COLUMN_MARKER</vt:lpstr>
      <vt:lpstr>ROIV_OTV_DEL_HL_ORG_COLUMN_MARKER</vt:lpstr>
      <vt:lpstr>ROIV_OTV_INN_COLUMN_MARKER</vt:lpstr>
      <vt:lpstr>ROIV_OTV_NAME_ORG_COLUMN_MARKER</vt:lpstr>
      <vt:lpstr>ROIV_OTV_NUM_DL_COLUMN_MARKER</vt:lpstr>
      <vt:lpstr>ROIV_OTV_NUM_ORG_COLUMN_MARKER</vt:lpstr>
      <vt:lpstr>ROIV_OTV_TECH_ORG_ID_COLUMN_MARKER</vt:lpstr>
      <vt:lpstr>SKI_number</vt:lpstr>
      <vt:lpstr>StartDateList</vt:lpstr>
      <vt:lpstr>TECH_ORG_ID</vt:lpstr>
      <vt:lpstr>TEMPLATE_DATA_POINT</vt:lpstr>
      <vt:lpstr>TEMPLATE_DATA_POINT_FHD</vt:lpstr>
      <vt:lpstr>TEMPLATE_GROUP</vt:lpstr>
      <vt:lpstr>TEMPLATE_NAME_FORM_LIST</vt:lpstr>
      <vt:lpstr>TEMPLATE_NOTE_POINT</vt:lpstr>
      <vt:lpstr>TEMPLATE_NOTE_POINT_FHD</vt:lpstr>
      <vt:lpstr>TEMPLATE_NUMBER_FORM_LIST</vt:lpstr>
      <vt:lpstr>TEMPLATE_NUMBER_POINT_FHD</vt:lpstr>
      <vt:lpstr>TEMPLATE_ORG_DATA_POINT</vt:lpstr>
      <vt:lpstr>TEMPLATE_SPHERE</vt:lpstr>
      <vt:lpstr>TEMPLATE_SPHERE_LIST</vt:lpstr>
      <vt:lpstr>TEMPLATE_SPHERE_LIST_FOR_NOTE</vt:lpstr>
      <vt:lpstr>TEMPLATE_SPHERE_LIST_FOR_NPA</vt:lpstr>
      <vt:lpstr>TEMPLATE_SPHERE_RUS</vt:lpstr>
      <vt:lpstr>TEMPLATE_SPHERE_RUS_2</vt:lpstr>
      <vt:lpstr>TemplateState</vt:lpstr>
      <vt:lpstr>ter_1</vt:lpstr>
      <vt:lpstr>TER_ID</vt:lpstr>
      <vt:lpstr>TERMS_LINK</vt:lpstr>
      <vt:lpstr>TERMS_NAME_FORM</vt:lpstr>
      <vt:lpstr>TERMS_NUM_CONTRACT_COLUMN_MARKER</vt:lpstr>
      <vt:lpstr>TERMS_P_1</vt:lpstr>
      <vt:lpstr>TERMS_TKO_TRANS_DATA</vt:lpstr>
      <vt:lpstr>TERRITORY_CheckC</vt:lpstr>
      <vt:lpstr>TERRITORY_ID</vt:lpstr>
      <vt:lpstr>TERRITORY_LIST_ID</vt:lpstr>
      <vt:lpstr>TERRITORY_MO_LIST</vt:lpstr>
      <vt:lpstr>TERRITORY_MR_LIST</vt:lpstr>
      <vt:lpstr>TERRITORY_NAME_COL</vt:lpstr>
      <vt:lpstr>TERRITORY_POINT_NUMBER_1</vt:lpstr>
      <vt:lpstr>TITLE_BUHG_FLAG</vt:lpstr>
      <vt:lpstr>TITLE_CONNECTION_FLAG</vt:lpstr>
      <vt:lpstr>TITLE_DATA_TYPE</vt:lpstr>
      <vt:lpstr>TITLE_DATE_BUHG</vt:lpstr>
      <vt:lpstr>TITLE_DATE_CHANGE</vt:lpstr>
      <vt:lpstr>TITLE_DATE_CHANGE_PERIOD</vt:lpstr>
      <vt:lpstr>TITLE_DATE_FIL</vt:lpstr>
      <vt:lpstr>TITLE_DATE_PARKING</vt:lpstr>
      <vt:lpstr>TITLE_DATE_PR</vt:lpstr>
      <vt:lpstr>TITLE_DATE_PR_CHANGE</vt:lpstr>
      <vt:lpstr>TITLE_DIFFERENTIATION_TYPE</vt:lpstr>
      <vt:lpstr>TITLE_FIL_YEAR</vt:lpstr>
      <vt:lpstr>TITLE_FLAG_DIFF_SELLER</vt:lpstr>
      <vt:lpstr>TITLE_FLAG_INTERNET</vt:lpstr>
      <vt:lpstr>TITLE_FLAG_IP</vt:lpstr>
      <vt:lpstr>TITLE_FLAG_IP_DETAILED</vt:lpstr>
      <vt:lpstr>TITLE_FLAG_NO_DIFF_COMPONENT</vt:lpstr>
      <vt:lpstr>TITLE_FLAG_NOT_REG_PRICE</vt:lpstr>
      <vt:lpstr>TITLE_FLAG_REG_PRICE_IP</vt:lpstr>
      <vt:lpstr>TITLE_FLAG_TKO_TRANS</vt:lpstr>
      <vt:lpstr>TITLE_FLAG_TOP80_ACTIVITY</vt:lpstr>
      <vt:lpstr>TITLE_HEADER_PR_CHANGE</vt:lpstr>
      <vt:lpstr>TITLE_IP_DETAILED_METHOD_LIST</vt:lpstr>
      <vt:lpstr>TITLE_IST_PUB</vt:lpstr>
      <vt:lpstr>TITLE_IST_PUB_CHANGE</vt:lpstr>
      <vt:lpstr>TITLE_NAME_OR_PR</vt:lpstr>
      <vt:lpstr>TITLE_NAME_OR_PR_CHANGE</vt:lpstr>
      <vt:lpstr>TITLE_NUMBER_PR</vt:lpstr>
      <vt:lpstr>TITLE_NUMBER_PR_CHANGE</vt:lpstr>
      <vt:lpstr>TITLE_PERIOD_END</vt:lpstr>
      <vt:lpstr>TITLE_PERIOD_START</vt:lpstr>
      <vt:lpstr>TITLE_PRICE_INDICATORS_GRAPH</vt:lpstr>
      <vt:lpstr>TITLE_PRICE_INDICATORS_LEVEL</vt:lpstr>
      <vt:lpstr>TITLE_STRUCTURE_INFO_ROIV</vt:lpstr>
      <vt:lpstr>TITLE_TYPE_ORG</vt:lpstr>
      <vt:lpstr>TKO_PT_VED_ID</vt:lpstr>
      <vt:lpstr>TKO_PT_VED_NAME</vt:lpstr>
      <vt:lpstr>TKO_PT_VED_NAME_LIST</vt:lpstr>
      <vt:lpstr>TP_NAME_FORM</vt:lpstr>
      <vt:lpstr>TP_NUMBER_FORM</vt:lpstr>
      <vt:lpstr>TP_P_A</vt:lpstr>
      <vt:lpstr>TP_P_B</vt:lpstr>
      <vt:lpstr>TP_P_G</vt:lpstr>
      <vt:lpstr>TP_P_NOTE_A</vt:lpstr>
      <vt:lpstr>TP_P_NOTE_B</vt:lpstr>
      <vt:lpstr>TP_P_NOTE_G</vt:lpstr>
      <vt:lpstr>TP_P_NOTE_G_1</vt:lpstr>
      <vt:lpstr>TP_P_NOTE_V</vt:lpstr>
      <vt:lpstr>TP_P_NOTE_V_1</vt:lpstr>
      <vt:lpstr>TP_P_V</vt:lpstr>
      <vt:lpstr>TP_P_V_1</vt:lpstr>
      <vt:lpstr>TYPE_TKO_LIST</vt:lpstr>
      <vt:lpstr>UNIT_CONNECT_LIST</vt:lpstr>
      <vt:lpstr>VD_ID_LIST</vt:lpstr>
      <vt:lpstr>VD_LIST</vt:lpstr>
      <vt:lpstr>VD_NAME_LIST</vt:lpstr>
      <vt:lpstr>VDET_END_DATE</vt:lpstr>
      <vt:lpstr>VDET_START_DATE</vt:lpstr>
      <vt:lpstr>version</vt:lpstr>
      <vt:lpstr>VOTV_FIN_SRC_LIST</vt:lpstr>
      <vt:lpstr>VOTV_FIN_SRC_VLD_LIST</vt:lpstr>
      <vt:lpstr>VOTV_IP_EVENT_CI_STAGE_LIST</vt:lpstr>
      <vt:lpstr>VOTV_IP_EVENT_GROUP_LIST</vt:lpstr>
      <vt:lpstr>VOTV_IP_EVENT_SUBGROUP_1_LIST</vt:lpstr>
      <vt:lpstr>VOTV_IP_EVENT_SUBGROUP_3_LIST</vt:lpstr>
      <vt:lpstr>VOTV_IP_EVENT_SUBGROUP_5_LIST</vt:lpstr>
      <vt:lpstr>VOTV_IP_EVENT_TYPE_LIST</vt:lpstr>
      <vt:lpstr>VOTV_PT_VED_ID</vt:lpstr>
      <vt:lpstr>VOTV_PT_VED_NAME</vt:lpstr>
      <vt:lpstr>VOTV_PT_VED_NAME_LIST</vt:lpstr>
      <vt:lpstr>VOTV_TARIFF_A_VOTV_ADD_HL_COLUMN_MARKER</vt:lpstr>
      <vt:lpstr>VOTV_TARIFF_A_VOTV_DEL_HL_DATA_DIFF_COLUMN_MARKER</vt:lpstr>
      <vt:lpstr>VOTV_TARIFF_A_VOTV_DEL_HL_FLAG_DIFF_COLUMN_MARKER</vt:lpstr>
      <vt:lpstr>VOTV_TARIFF_A_VOTV_DEL_HL_GC_COLUMN_MARKER</vt:lpstr>
      <vt:lpstr>VOTV_TARIFF_A_VOTV_DELETE_PERIOD_ROW_MARKER</vt:lpstr>
      <vt:lpstr>VOTV_TARIFF_A_VOTV_FLAG_BLOCK_COLUMN_MARKER</vt:lpstr>
      <vt:lpstr>VOTV_TARIFF_A_VOTV_FLAG_BLOCK_ROW_MARKER</vt:lpstr>
      <vt:lpstr>VOTV_TARIFF_A_VOTV_NUM_CS_COLUMN_MARKER</vt:lpstr>
      <vt:lpstr>VOTV_TARIFF_A_VOTV_NUM_DATA_DIFF_COLUMN_MARKER</vt:lpstr>
      <vt:lpstr>VOTV_TARIFF_A_VOTV_NUM_FLAG_DIFF_COLUMN_MARKER</vt:lpstr>
      <vt:lpstr>VOTV_TARIFF_A_VOTV_NUM_GC_COLUMN_MARKER</vt:lpstr>
      <vt:lpstr>VOTV_TARIFF_A_VOTV_NUM_NTAR_COLUMN_MARKER</vt:lpstr>
      <vt:lpstr>VOTV_TARIFF_A_VOTV_NUM_TER_COLUMN_MARKER</vt:lpstr>
      <vt:lpstr>VOTV_TARIFF_B_VOTV_ADD_HL_COLUMN_MARKER</vt:lpstr>
      <vt:lpstr>VOTV_TARIFF_B_VOTV_DEL_HL_DATA_DIFF_COLUMN_MARKER</vt:lpstr>
      <vt:lpstr>VOTV_TARIFF_B_VOTV_DEL_HL_FLAG_DIFF_COLUMN_MARKER</vt:lpstr>
      <vt:lpstr>VOTV_TARIFF_B_VOTV_DEL_HL_GC_COLUMN_MARKER</vt:lpstr>
      <vt:lpstr>VOTV_TARIFF_B_VOTV_DELETE_PERIOD_ROW_MARKER</vt:lpstr>
      <vt:lpstr>VOTV_TARIFF_B_VOTV_FLAG_BLOCK_COLUMN_MARKER</vt:lpstr>
      <vt:lpstr>VOTV_TARIFF_B_VOTV_FLAG_BLOCK_ROW_MARKER</vt:lpstr>
      <vt:lpstr>VOTV_TARIFF_B_VOTV_NUM_CS_COLUMN_MARKER</vt:lpstr>
      <vt:lpstr>VOTV_TARIFF_B_VOTV_NUM_DATA_DIFF_COLUMN_MARKER</vt:lpstr>
      <vt:lpstr>VOTV_TARIFF_B_VOTV_NUM_FLAG_DIFF_COLUMN_MARKER</vt:lpstr>
      <vt:lpstr>VOTV_TARIFF_B_VOTV_NUM_GC_COLUMN_MARKER</vt:lpstr>
      <vt:lpstr>VOTV_TARIFF_B_VOTV_NUM_NTAR_COLUMN_MARKER</vt:lpstr>
      <vt:lpstr>VOTV_TARIFF_B_VOTV_NUM_TER_COLUMN_MARKER</vt:lpstr>
      <vt:lpstr>VOTV_TARIFF_C_VOTV_ADD_HL_COLUMN_MARKER</vt:lpstr>
      <vt:lpstr>VOTV_TARIFF_C_VOTV_ADD_HL_DIAMETERS_COLUMN_MARKER</vt:lpstr>
      <vt:lpstr>VOTV_TARIFF_C_VOTV_ADD_HL_LEN_COLUMN_MARKER</vt:lpstr>
      <vt:lpstr>VOTV_TARIFF_C_VOTV_ADD_HL_LOAD_COLUMN_MARKER</vt:lpstr>
      <vt:lpstr>VOTV_TARIFF_C_VOTV_ADD_HL_NETS_COLUMN_MARKER</vt:lpstr>
      <vt:lpstr>VOTV_TARIFF_C_VOTV_DEL_HL_DATA_DIFF_COLUMN_MARKER</vt:lpstr>
      <vt:lpstr>VOTV_TARIFF_C_VOTV_DEL_HL_DIAMETERS_COLUMN_MARKER</vt:lpstr>
      <vt:lpstr>VOTV_TARIFF_C_VOTV_DEL_HL_FLAG_DIFF_COLUMN_MARKER</vt:lpstr>
      <vt:lpstr>VOTV_TARIFF_C_VOTV_DEL_HL_GC_COLUMN_MARKER</vt:lpstr>
      <vt:lpstr>VOTV_TARIFF_C_VOTV_DEL_HL_LEN_COLUMN_MARKER</vt:lpstr>
      <vt:lpstr>VOTV_TARIFF_C_VOTV_DEL_HL_LOAD_COLUMN_MARKER</vt:lpstr>
      <vt:lpstr>VOTV_TARIFF_C_VOTV_DEL_HL_NETS_COLUMN_MARKER</vt:lpstr>
      <vt:lpstr>VOTV_TARIFF_C_VOTV_DELETE_PERIOD_ROW_MARKER</vt:lpstr>
      <vt:lpstr>VOTV_TARIFF_C_VOTV_FLAG_BLOCK_COLUMN_MARKER</vt:lpstr>
      <vt:lpstr>VOTV_TARIFF_C_VOTV_FLAG_BLOCK_ROW_MARKER</vt:lpstr>
      <vt:lpstr>VOTV_TARIFF_C_VOTV_NUM_CS_COLUMN_MARKER</vt:lpstr>
      <vt:lpstr>VOTV_TARIFF_C_VOTV_NUM_DATA_DIFF_COLUMN_MARKER</vt:lpstr>
      <vt:lpstr>VOTV_TARIFF_C_VOTV_NUM_DIAMETERS_COLUMN_MARKER</vt:lpstr>
      <vt:lpstr>VOTV_TARIFF_C_VOTV_NUM_FLAG_DIFF_COLUMN_MARKER</vt:lpstr>
      <vt:lpstr>VOTV_TARIFF_C_VOTV_NUM_GC_COLUMN_MARKER</vt:lpstr>
      <vt:lpstr>VOTV_TARIFF_C_VOTV_NUM_LEN_COLUMN_MARKER</vt:lpstr>
      <vt:lpstr>VOTV_TARIFF_C_VOTV_NUM_LOAD_COLUMN_MARKER</vt:lpstr>
      <vt:lpstr>VOTV_TARIFF_C_VOTV_NUM_NETS_COLUMN_MARKER</vt:lpstr>
      <vt:lpstr>VOTV_TARIFF_C_VOTV_NUM_NTAR_COLUMN_MARKER</vt:lpstr>
      <vt:lpstr>VOTV_TARIFF_C_VOTV_NUM_TER_COLUMN_MARKER</vt:lpstr>
      <vt:lpstr>VSNA_FIN_SRC_LIST</vt:lpstr>
      <vt:lpstr>VSNA_FIN_SRC_VLD_LIST</vt:lpstr>
      <vt:lpstr>VSNA_IP_EVENT_CI_STAGE_LIST</vt:lpstr>
      <vt:lpstr>VSNA_IP_EVENT_GROUP_LIST</vt:lpstr>
      <vt:lpstr>VSNA_IP_EVENT_SUBGROUP_1_LIST</vt:lpstr>
      <vt:lpstr>VSNA_IP_EVENT_SUBGROUP_3_LIST</vt:lpstr>
      <vt:lpstr>VSNA_IP_EVENT_SUBGROUP_5_LIST</vt:lpstr>
      <vt:lpstr>VSNA_IP_EVENT_TYPE_LIST</vt:lpstr>
      <vt:lpstr>VTAR_ID</vt:lpstr>
      <vt:lpstr>Y_N_DIFFERENTIATION_AREA</vt:lpstr>
      <vt:lpstr>Y_N_DIFFERENTIATION_SYSTEM</vt:lpstr>
      <vt:lpstr>YEAR_IP_LIST</vt:lpstr>
      <vt:lpstr>year_list</vt:lpstr>
      <vt:lpstr>year_list1</vt:lpstr>
    </vt:vector>
  </TitlesOfParts>
  <Company>ФАС России</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Информация, подлежащая раскрытию организациями сферы теплоснабжения (цены и тарифы)</dc:title>
  <dc:subject>Информация, подлежащая раскрытию организациями сферы теплоснабжения (цены и тарифы)</dc:subject>
  <dc:creator>--</dc:creator>
  <cp:lastModifiedBy>Анастасия А. Канайчева</cp:lastModifiedBy>
  <cp:lastPrinted>2013-08-29T08:11:20Z</cp:lastPrinted>
  <dcterms:created xsi:type="dcterms:W3CDTF">2004-05-21T07:18:45Z</dcterms:created>
  <dcterms:modified xsi:type="dcterms:W3CDTF">2024-04-04T07:55:26Z</dcterms:modified>
</cp:coreProperties>
</file>